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SL\OZLP\OZLP společné\Postupy 2\AME\AMS\"/>
    </mc:Choice>
  </mc:AlternateContent>
  <xr:revisionPtr revIDLastSave="0" documentId="13_ncr:1_{0E8CADBF-7774-45BD-A5F0-9C1DEE2744F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Kalkulačka MC" sheetId="1" r:id="rId1"/>
    <sheet name="Pravidla a zdroje" sheetId="2" r:id="rId2"/>
    <sheet name="Kontrolní případy" sheetId="3" r:id="rId3"/>
    <sheet name="Číselníky" sheetId="4" state="veryHidden" r:id="rId4"/>
    <sheet name="Kontrola Last-Next" sheetId="5" state="hidden" r:id="rId5"/>
  </sheets>
  <definedNames>
    <definedName name="_xlnm._FilterDatabase" localSheetId="2" hidden="1">'Kontrolní případy'!$A$4:$T$20</definedName>
    <definedName name="_xlnm.Print_Area" localSheetId="0">'Kalkulačka MC'!$A$1:$J$67</definedName>
    <definedName name="_xlnm.Print_Area" localSheetId="2">'Kontrolní případy'!$A$1:$T$20</definedName>
    <definedName name="_xlnm.Print_Area" localSheetId="1">'Pravidla a zdroje'!$A$1:$C$39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5" l="1"/>
  <c r="F14" i="5" s="1"/>
  <c r="F13" i="5"/>
  <c r="H13" i="5" s="1"/>
  <c r="D13" i="5"/>
  <c r="F12" i="5"/>
  <c r="H12" i="5" s="1"/>
  <c r="D12" i="5"/>
  <c r="F11" i="5"/>
  <c r="H11" i="5" s="1"/>
  <c r="D11" i="5"/>
  <c r="D10" i="5"/>
  <c r="F10" i="5" s="1"/>
  <c r="H10" i="5" s="1"/>
  <c r="D9" i="5"/>
  <c r="F9" i="5" s="1"/>
  <c r="H9" i="5" s="1"/>
  <c r="D8" i="5"/>
  <c r="F8" i="5" s="1"/>
  <c r="H8" i="5" s="1"/>
  <c r="D7" i="5"/>
  <c r="F7" i="5" s="1"/>
  <c r="D6" i="5"/>
  <c r="F6" i="5" s="1"/>
  <c r="D5" i="5"/>
  <c r="F5" i="5" s="1"/>
  <c r="D4" i="5"/>
  <c r="F4" i="5" s="1"/>
  <c r="H4" i="5" s="1"/>
  <c r="D3" i="5"/>
  <c r="F3" i="5" s="1"/>
  <c r="H3" i="5" s="1"/>
  <c r="D2" i="5"/>
  <c r="F2" i="5" s="1"/>
  <c r="H2" i="5" s="1"/>
  <c r="U20" i="3"/>
  <c r="V20" i="3" s="1"/>
  <c r="N20" i="3"/>
  <c r="U19" i="3"/>
  <c r="V19" i="3" s="1"/>
  <c r="N19" i="3"/>
  <c r="U18" i="3"/>
  <c r="O18" i="3" s="1"/>
  <c r="N18" i="3"/>
  <c r="U17" i="3"/>
  <c r="O17" i="3" s="1"/>
  <c r="U16" i="3"/>
  <c r="O16" i="3" s="1"/>
  <c r="U15" i="3"/>
  <c r="N15" i="3" s="1"/>
  <c r="U14" i="3"/>
  <c r="N14" i="3"/>
  <c r="U13" i="3"/>
  <c r="O13" i="3" s="1"/>
  <c r="U12" i="3"/>
  <c r="N12" i="3" s="1"/>
  <c r="U11" i="3"/>
  <c r="O11" i="3" s="1"/>
  <c r="U10" i="3"/>
  <c r="V10" i="3" s="1"/>
  <c r="N10" i="3"/>
  <c r="U9" i="3"/>
  <c r="O9" i="3" s="1"/>
  <c r="N9" i="3"/>
  <c r="U8" i="3"/>
  <c r="V8" i="3" s="1"/>
  <c r="N8" i="3"/>
  <c r="U7" i="3"/>
  <c r="O7" i="3" s="1"/>
  <c r="N7" i="3"/>
  <c r="U6" i="3"/>
  <c r="N6" i="3"/>
  <c r="U5" i="3"/>
  <c r="O5" i="3" s="1"/>
  <c r="N5" i="3"/>
  <c r="C64" i="1"/>
  <c r="A56" i="1"/>
  <c r="F50" i="1"/>
  <c r="N46" i="1"/>
  <c r="F46" i="1"/>
  <c r="N45" i="1"/>
  <c r="N44" i="1"/>
  <c r="N43" i="1"/>
  <c r="N42" i="1"/>
  <c r="N41" i="1"/>
  <c r="F41" i="1"/>
  <c r="F37" i="1"/>
  <c r="N36" i="1"/>
  <c r="F36" i="1"/>
  <c r="N35" i="1"/>
  <c r="N39" i="1" s="1"/>
  <c r="N34" i="1"/>
  <c r="N37" i="1" s="1"/>
  <c r="N29" i="1"/>
  <c r="N21" i="1"/>
  <c r="N20" i="1"/>
  <c r="N19" i="1"/>
  <c r="N18" i="1"/>
  <c r="N17" i="1"/>
  <c r="N16" i="1"/>
  <c r="N8" i="1"/>
  <c r="N7" i="1"/>
  <c r="N6" i="1"/>
  <c r="N5" i="1"/>
  <c r="N4" i="1"/>
  <c r="N3" i="1"/>
  <c r="N2" i="1"/>
  <c r="O20" i="3" l="1"/>
  <c r="R20" i="3" s="1"/>
  <c r="N38" i="1"/>
  <c r="V11" i="3"/>
  <c r="P11" i="3" s="1"/>
  <c r="O12" i="3"/>
  <c r="N11" i="3"/>
  <c r="V12" i="3"/>
  <c r="O19" i="3"/>
  <c r="P19" i="3" s="1"/>
  <c r="O10" i="3"/>
  <c r="R10" i="3" s="1"/>
  <c r="F40" i="1"/>
  <c r="H11" i="1"/>
  <c r="N40" i="1"/>
  <c r="V5" i="3"/>
  <c r="S5" i="3" s="1"/>
  <c r="V14" i="3"/>
  <c r="O14" i="3"/>
  <c r="N10" i="1"/>
  <c r="N9" i="1"/>
  <c r="S20" i="3"/>
  <c r="Q20" i="3"/>
  <c r="P20" i="3"/>
  <c r="O6" i="3"/>
  <c r="V6" i="3"/>
  <c r="V13" i="3"/>
  <c r="S13" i="3" s="1"/>
  <c r="N13" i="3"/>
  <c r="V15" i="3"/>
  <c r="N16" i="3"/>
  <c r="V16" i="3"/>
  <c r="Q16" i="3" s="1"/>
  <c r="V9" i="3"/>
  <c r="S9" i="3" s="1"/>
  <c r="O15" i="3"/>
  <c r="O8" i="3"/>
  <c r="N17" i="3"/>
  <c r="V17" i="3"/>
  <c r="S17" i="3" s="1"/>
  <c r="V18" i="3"/>
  <c r="Q18" i="3" s="1"/>
  <c r="V7" i="3"/>
  <c r="S7" i="3" s="1"/>
  <c r="S11" i="3" l="1"/>
  <c r="R11" i="3"/>
  <c r="Q11" i="3"/>
  <c r="P12" i="3"/>
  <c r="S10" i="3"/>
  <c r="Q12" i="3"/>
  <c r="S12" i="3"/>
  <c r="Q9" i="3"/>
  <c r="Q19" i="3"/>
  <c r="T20" i="3"/>
  <c r="R12" i="3"/>
  <c r="R19" i="3"/>
  <c r="P9" i="3"/>
  <c r="S19" i="3"/>
  <c r="P10" i="3"/>
  <c r="Q10" i="3"/>
  <c r="P18" i="3"/>
  <c r="R9" i="3"/>
  <c r="S6" i="3"/>
  <c r="R6" i="3"/>
  <c r="Q6" i="3"/>
  <c r="P6" i="3"/>
  <c r="S14" i="3"/>
  <c r="R14" i="3"/>
  <c r="Q14" i="3"/>
  <c r="P14" i="3"/>
  <c r="P5" i="3"/>
  <c r="Q7" i="3"/>
  <c r="R17" i="3"/>
  <c r="Q17" i="3"/>
  <c r="P17" i="3"/>
  <c r="P13" i="3"/>
  <c r="R5" i="3"/>
  <c r="R7" i="3"/>
  <c r="P16" i="3"/>
  <c r="Q8" i="3"/>
  <c r="P8" i="3"/>
  <c r="S8" i="3"/>
  <c r="R8" i="3"/>
  <c r="R13" i="3"/>
  <c r="Q5" i="3"/>
  <c r="R18" i="3"/>
  <c r="P7" i="3"/>
  <c r="Q13" i="3"/>
  <c r="R15" i="3"/>
  <c r="Q15" i="3"/>
  <c r="P15" i="3"/>
  <c r="S15" i="3"/>
  <c r="N11" i="1"/>
  <c r="H6" i="1"/>
  <c r="C54" i="1"/>
  <c r="N49" i="1"/>
  <c r="C55" i="1"/>
  <c r="C53" i="1"/>
  <c r="I55" i="1"/>
  <c r="I53" i="1"/>
  <c r="N48" i="1"/>
  <c r="N15" i="1"/>
  <c r="G55" i="1"/>
  <c r="G53" i="1"/>
  <c r="E55" i="1"/>
  <c r="I56" i="1"/>
  <c r="G56" i="1"/>
  <c r="N51" i="1"/>
  <c r="C63" i="1" s="1"/>
  <c r="G18" i="1"/>
  <c r="E53" i="1"/>
  <c r="I54" i="1"/>
  <c r="N50" i="1"/>
  <c r="C56" i="1"/>
  <c r="G54" i="1"/>
  <c r="N32" i="1"/>
  <c r="H8" i="1" s="1"/>
  <c r="E56" i="1"/>
  <c r="G17" i="1"/>
  <c r="E54" i="1"/>
  <c r="S18" i="3"/>
  <c r="R16" i="3"/>
  <c r="S16" i="3"/>
  <c r="T11" i="3" l="1"/>
  <c r="T12" i="3"/>
  <c r="T10" i="3"/>
  <c r="T6" i="3"/>
  <c r="T19" i="3"/>
  <c r="T9" i="3"/>
  <c r="T15" i="3"/>
  <c r="T17" i="3"/>
  <c r="T8" i="3"/>
  <c r="T7" i="3"/>
  <c r="T16" i="3"/>
  <c r="T18" i="3"/>
  <c r="T14" i="3"/>
  <c r="T13" i="3"/>
  <c r="T5" i="3"/>
  <c r="F38" i="1"/>
  <c r="C65" i="1"/>
  <c r="N31" i="1"/>
  <c r="G25" i="1"/>
  <c r="G21" i="1"/>
  <c r="N13" i="1"/>
  <c r="H9" i="1" s="1"/>
  <c r="N30" i="1"/>
  <c r="H14" i="1" s="1"/>
  <c r="N24" i="1"/>
  <c r="G24" i="1"/>
  <c r="N14" i="1"/>
  <c r="H10" i="1" s="1"/>
  <c r="N23" i="1"/>
  <c r="H7" i="1" s="1"/>
  <c r="N27" i="1"/>
  <c r="G23" i="1"/>
  <c r="N26" i="1"/>
  <c r="G20" i="1"/>
  <c r="N28" i="1"/>
  <c r="H13" i="1" s="1"/>
  <c r="N22" i="1"/>
  <c r="H12" i="1" s="1"/>
  <c r="N12" i="1"/>
  <c r="G26" i="1"/>
  <c r="G22" i="1"/>
  <c r="N25" i="1"/>
  <c r="C66" i="1"/>
  <c r="F39" i="1"/>
  <c r="C67" i="1"/>
  <c r="F44" i="1"/>
  <c r="G14" i="5"/>
  <c r="H14" i="5" s="1"/>
  <c r="G7" i="5"/>
  <c r="H7" i="5" s="1"/>
  <c r="G6" i="5"/>
  <c r="H6" i="5" s="1"/>
  <c r="G5" i="5"/>
  <c r="H5" i="5" s="1"/>
</calcChain>
</file>

<file path=xl/sharedStrings.xml><?xml version="1.0" encoding="utf-8"?>
<sst xmlns="http://schemas.openxmlformats.org/spreadsheetml/2006/main" count="409" uniqueCount="322">
  <si>
    <t>KALKULAČKA PLATNOSTI OSVĚDČENÍ ZDRAVOTNÍ ZPŮSOBILOSTI</t>
  </si>
  <si>
    <t>Part-MED – pracovní pomůcka pro vyplnění Medical Certificate (Class 1 / Class 2 / LAPL)</t>
  </si>
  <si>
    <t>DOB_CHECK</t>
  </si>
  <si>
    <t>CLASS_CHECK</t>
  </si>
  <si>
    <t>CASE_CHECK</t>
  </si>
  <si>
    <t>1. VSTUPNÍ ÚDAJE</t>
  </si>
  <si>
    <t>2. KONTROLA A ZPŮSOB VÝPOČTU</t>
  </si>
  <si>
    <t>EXAM_CHECK</t>
  </si>
  <si>
    <t>Datum narození</t>
  </si>
  <si>
    <t>Stav vstupů</t>
  </si>
  <si>
    <t>PREV_CHECK</t>
  </si>
  <si>
    <t>Vydávaná třída OZZ</t>
  </si>
  <si>
    <t>Rozpoznaný režim</t>
  </si>
  <si>
    <t>ISSUE_CHECK</t>
  </si>
  <si>
    <t>Druh případu</t>
  </si>
  <si>
    <t>Začátek 45denního období</t>
  </si>
  <si>
    <t>SPECIAL_CHECK</t>
  </si>
  <si>
    <t>Den ukončení lékařského vyšetření</t>
  </si>
  <si>
    <t>Základ pro výpočet konce</t>
  </si>
  <si>
    <t>STATUS</t>
  </si>
  <si>
    <t>Datum skončení platnosti předchozího OZZ</t>
  </si>
  <si>
    <t>Počátek nové platnosti</t>
  </si>
  <si>
    <t>CORE_READY</t>
  </si>
  <si>
    <t>Skutečné datum vydání (volitelné)</t>
  </si>
  <si>
    <t>Věk v den vyšetření</t>
  </si>
  <si>
    <t>AUTO_READY</t>
  </si>
  <si>
    <t>TML / individuálně zkrácená platnost?</t>
  </si>
  <si>
    <t>Ne</t>
  </si>
  <si>
    <t>Věk v den počátku platnosti</t>
  </si>
  <si>
    <t>TIMELY_REVALIDATION</t>
  </si>
  <si>
    <t>Kontrola věkové hranice</t>
  </si>
  <si>
    <t>CALC_BASE</t>
  </si>
  <si>
    <t>Použitý princip výpočtu</t>
  </si>
  <si>
    <t>VALIDITY_START</t>
  </si>
  <si>
    <t>ISSUE_DATE</t>
  </si>
  <si>
    <t>3. ÚDAJE K PŘEPISU DO MEDICAL CERTIFICATE</t>
  </si>
  <si>
    <t>BIRTHDAY_40</t>
  </si>
  <si>
    <t>Datum vydání / Date of issue (pole X)</t>
  </si>
  <si>
    <t>BIRTHDAY_42</t>
  </si>
  <si>
    <t>Datum vyšetření / Examination date</t>
  </si>
  <si>
    <t>BIRTHDAY_50</t>
  </si>
  <si>
    <t>POLE XI – DATUM SKONČENÍ PLATNOSTI TOHOTO OSVĚDČENÍ</t>
  </si>
  <si>
    <t>BIRTHDAY_51</t>
  </si>
  <si>
    <t>Class 1 – datum skončení platnosti</t>
  </si>
  <si>
    <t>BIRTHDAY_60</t>
  </si>
  <si>
    <t>Class 1 single-pilot commercial operations carrying passengers</t>
  </si>
  <si>
    <t>AGE_EXAM</t>
  </si>
  <si>
    <t>Class 2 – datum skončení platnosti</t>
  </si>
  <si>
    <t>AGE_START</t>
  </si>
  <si>
    <t>LAPL – datum skončení platnosti</t>
  </si>
  <si>
    <t>CLASSIFICATION</t>
  </si>
  <si>
    <t>Pokyn k poli XI</t>
  </si>
  <si>
    <t>CLASS1_EXPIRY</t>
  </si>
  <si>
    <t>Režim případu</t>
  </si>
  <si>
    <t>SP_CAT_EXPIRY</t>
  </si>
  <si>
    <t>Poznámka k výpočtu platnosti</t>
  </si>
  <si>
    <t>CLASS2_EXPIRY</t>
  </si>
  <si>
    <t>LAPL_EXPIRY</t>
  </si>
  <si>
    <t>DŮLEŽITÁ UPOZORNĚNÍ</t>
  </si>
  <si>
    <t>THRESHOLD_WARNING</t>
  </si>
  <si>
    <t>• Kalkulačka určuje administrativní data pro datum vydání, datum vyšetření a pole XI. Nenahrazuje letecko-lékařské posouzení ani rozhodnutí AME/AeMC/ÚCL.</t>
  </si>
  <si>
    <t>LEAP_WARNING</t>
  </si>
  <si>
    <t>• Při TML, těhotenství nebo jiné individuálně stanovené kratší platnosti má individuální datum přednost; zvolte ve vstupu „Ano“ a datum stanovte ručně.</t>
  </si>
  <si>
    <t>BASE_NOTE</t>
  </si>
  <si>
    <t>• Doplňková tabulka Last / Next počítá standardní termíny ECG a audiogramu. Oftalmologie zohledňuje refrakční režim i single-pilot HEMS od 60 let; Other information používá ruční termíny.</t>
  </si>
  <si>
    <t>CROSS_INSTRUCTION</t>
  </si>
  <si>
    <t>• Pro hraniční přechody 40/50/60 let kalkulačka používá specifické pravidlo podle věku v den počátku nové platnosti; podrobnosti jsou na listu „Pravidla a zdroje“.</t>
  </si>
  <si>
    <t>WINDOW_START</t>
  </si>
  <si>
    <t>ECG_AGE_LAST</t>
  </si>
  <si>
    <t>Do „Last“ zadejte skutečný den provedení daného odborného vyšetření. Bylo-li provedeno v den ukončení aktuálního letecko-lékařského vyšetření, zadejte stejné datum jako v C9. Kalkulačka zvýrazní splatný nebo chybný údaj.</t>
  </si>
  <si>
    <t>AUDIO_AGE_LAST</t>
  </si>
  <si>
    <t>Class 2 – držitel má IR nebo BIR?</t>
  </si>
  <si>
    <t>OPHTH_AGE_LAST</t>
  </si>
  <si>
    <t>ECG – datum posledního vyšetření (Last)</t>
  </si>
  <si>
    <t>ECG_C1_NEXT</t>
  </si>
  <si>
    <t>Audiogram – datum posledního vyšetření (Last)</t>
  </si>
  <si>
    <t>ECG_C2_NEXT</t>
  </si>
  <si>
    <t>Ophthalmological examination – datum Last</t>
  </si>
  <si>
    <t>AUDIO_NEXT</t>
  </si>
  <si>
    <t>Ophthalmologie Class 1 – režim výpočtu Next</t>
  </si>
  <si>
    <t>Bez pevného intervalu / klinická indikace</t>
  </si>
  <si>
    <t>OPHTH_C1_NEXT</t>
  </si>
  <si>
    <t>Ophthalmologie – ruční Next Class 1</t>
  </si>
  <si>
    <t>OPHTH_C2_NEXT</t>
  </si>
  <si>
    <t>Ophthalmologie – ruční Next Class 2</t>
  </si>
  <si>
    <t>Ruční termín specialistického vyšetření pro Class 2; není-li stanoven, výstup bude N/A.</t>
  </si>
  <si>
    <t>OPHTH_LAPL_NEXT</t>
  </si>
  <si>
    <t>Ophthalmologie – ruční Next LAPL</t>
  </si>
  <si>
    <t>Ruční termín specialistického vyšetření pro LAPL; není-li stanoven, výstup bude N/A.</t>
  </si>
  <si>
    <t>ECG_APPLICABLE</t>
  </si>
  <si>
    <t>Other information – použít řádek?</t>
  </si>
  <si>
    <t>Nevyplňuje se</t>
  </si>
  <si>
    <t>AUDIO_APPLICABLE</t>
  </si>
  <si>
    <t>Other information – název / stručný údaj</t>
  </si>
  <si>
    <t>Např. název individuálně sledovaného vyšetření. Obecné „Other information“ nemá jednotnou automatickou periodicitu.</t>
  </si>
  <si>
    <t>OPHTH_RELEVANT</t>
  </si>
  <si>
    <t>Other information – Last</t>
  </si>
  <si>
    <t>OTHER_APPLICABLE</t>
  </si>
  <si>
    <t>Other information – Next Class 1</t>
  </si>
  <si>
    <t>Ruční termín. Prázdná buňka znamená N/A.</t>
  </si>
  <si>
    <t>ECG_STATUS</t>
  </si>
  <si>
    <t>Other information – Next Class 2</t>
  </si>
  <si>
    <t>AUDIO_STATUS</t>
  </si>
  <si>
    <t>Other information – Next LAPL</t>
  </si>
  <si>
    <t>OPHTH_STATUS</t>
  </si>
  <si>
    <t>Class 1 – single-pilot HEMS provoz?</t>
  </si>
  <si>
    <t>OTHER_STATUS</t>
  </si>
  <si>
    <t>5. TABULKA K PŘEPISU DO MEDICAL CERTIFICATE – „LAST / NEXT“</t>
  </si>
  <si>
    <t>SUPPLEMENT_STATUS</t>
  </si>
  <si>
    <t>Druh vyšetření
Type of examination</t>
  </si>
  <si>
    <t>Poslední
Last</t>
  </si>
  <si>
    <t>Příští / Next
Class 1</t>
  </si>
  <si>
    <t>Příští / Next
Class 2</t>
  </si>
  <si>
    <t>Příští / Next
LAPL</t>
  </si>
  <si>
    <t>ECG</t>
  </si>
  <si>
    <t>Audiogram¹</t>
  </si>
  <si>
    <t>Ophthalmological examination</t>
  </si>
  <si>
    <t>¹ Audiogram: vyplňuje se pro Class 1 a pro Class 2 pouze tehdy, má-li držitel IR nebo BIR. Next = 60 měsíců do 40 let, 24 měsíců od 40 do 59 let a 12 měsíců od 60 let. Pole LAPL je ve formuláři šedé a nevyplňuje se.</t>
  </si>
  <si>
    <t>ECG Class 1 od 50 let: vyžaduje se při každém prodloužení nebo obnově; v automatickém výstupu je jako praktický další termín uveden konec současné platnosti C1. Při TML stanovte termín ručně.</t>
  </si>
  <si>
    <t>Class 1 single-pilot HEMS: při prvním prodloužení nebo obnově po dosažení 60 let a poté každý rok se provádí komplexní oční vyšetření. Je-li v C50 zvoleno Ano a věk při aktuálním vyšetření je alespoň 60 let, kalkulačka nastaví Next C1 na Last + 12 měsíců.</t>
  </si>
  <si>
    <t>6. KONTROLA DOPLŇKOVÉ TABULKY</t>
  </si>
  <si>
    <t>Celkový stav</t>
  </si>
  <si>
    <t>Audiogram</t>
  </si>
  <si>
    <t>Other information</t>
  </si>
  <si>
    <t>PRAVIDLA, ROZSAH A ZDROJE</t>
  </si>
  <si>
    <t>Metodická dokumentace kalkulačky • stav k 07/09/2026</t>
  </si>
  <si>
    <t>Účel: výpočet standardních dat platnosti pro pole XI a pomoc s tabulkou Last / Next formuláře Medical Certificate. Kalkulačka je pracovní pomůcka, nikoli právní ani letecko-lékařské rozhodnutí.</t>
  </si>
  <si>
    <t>Oblast</t>
  </si>
  <si>
    <t>Pravidlo použité v kalkulačce</t>
  </si>
  <si>
    <t>Poznámka / opora</t>
  </si>
  <si>
    <t>Rozlišení případu</t>
  </si>
  <si>
    <t>První vydání se volí přímo. U opakovaného vyšetření kalkulačka podle data vyšetření a předchozího konce rozliší prodloužení v 45denním období, opakované vyšetření dříve než 45 dnů před koncem a obnovu po skončení platnosti.</t>
  </si>
  <si>
    <t>MED.A.045; postupy ÚCL CAA-ZLP-151/152/154.</t>
  </si>
  <si>
    <t>45denní období</t>
  </si>
  <si>
    <t>Za včasné prodloužení se považuje vyšetření od 45. dne před datem skončení předchozího OZZ až do tohoto data včetně.</t>
  </si>
  <si>
    <t>Při tomto režimu nedochází ke ztrátě zbývající platnosti.</t>
  </si>
  <si>
    <t>Základ výpočtu</t>
  </si>
  <si>
    <t>Při prvním vydání, obnově po skončení platnosti a opakovaném vyšetření mimo 45denní období se konec počítá od dne ukončení vyšetření. Při včasném prodloužení se počítá od data skončení předchozího OZZ.</t>
  </si>
  <si>
    <t>Výpočet je „datum k datu“ pomocí funkce EDATE.</t>
  </si>
  <si>
    <t>Při včasném prodloužení začíná nová platnost následující den po skončení předchozího OZZ. V ostatních případech začíná dnem ukončení vyšetření.</t>
  </si>
  <si>
    <t>Postupy ÚCL, body 8.2 / 11.2.</t>
  </si>
  <si>
    <t>Hraniční věk</t>
  </si>
  <si>
    <t>Pro přechod přes 40., 50. nebo 60. rok používá kalkulačka věk v den počátku nové platnosti.</t>
  </si>
  <si>
    <t>Specifické přechodové pravidlo v bodech 8.4 / 11.4. Obecná tabulka současně zmiňuje věk v den vyšetření; pro hraniční přechod je použito zvláštní pravidlo.</t>
  </si>
  <si>
    <t>Class 1</t>
  </si>
  <si>
    <t>12 měsíců, pokud počátek platnosti nastane před 60. narozeninami; od dosažení 60 let 6 měsíců.</t>
  </si>
  <si>
    <t>MED.A.045(a)(1) a (2).</t>
  </si>
  <si>
    <t>Class 1 – SP CAT passengers</t>
  </si>
  <si>
    <t>12 měsíců před 40. narozeninami; od dosažení 40 let 6 měsíců.</t>
  </si>
  <si>
    <t>Samostatný řádek pole XI.</t>
  </si>
  <si>
    <t>Class 2</t>
  </si>
  <si>
    <t>Před 40. narozeninami 60 měsíců, nejdéle do 42. narozenin. Od 40 do před 50 lety 24 měsíců, nejdéle do 51. narozenin. Od 50 let 12 měsíců.</t>
  </si>
  <si>
    <t>MED.A.045(a)(3).</t>
  </si>
  <si>
    <t>LAPL</t>
  </si>
  <si>
    <t>Před 40. narozeninami 60 měsíců, nejdéle do 42. narozenin. Od 40 let 24 měsíců.</t>
  </si>
  <si>
    <t>MED.A.045(a)(4).</t>
  </si>
  <si>
    <t>Pole XI – proškrtnutí</t>
  </si>
  <si>
    <t>LAPL: proškrtnout horní 3 okénka. Class 2: proškrtnout horní 2 okénka. Class 1: vyplnit všechna 4 okénka.</t>
  </si>
  <si>
    <t>Postupy ÚCL pro AME/AeMC.</t>
  </si>
  <si>
    <t>Datum vydání</t>
  </si>
  <si>
    <t>Je-li volitelné pole prázdné, kalkulačka navrhne den ukončení vyšetření. Skutečné datum vydání nemění základ výpočtu platnosti.</t>
  </si>
  <si>
    <t>Do MC se zapisuje skutečné datum vydání.</t>
  </si>
  <si>
    <t>TML / individuální platnost</t>
  </si>
  <si>
    <t>Při TML, těhotenství nebo jiném individuálním zkrácení se automatický výpočet nepoužije a datum se stanoví ručně podle konkrétního rozhodnutí.</t>
  </si>
  <si>
    <t>Individuální omezení má přednost před standardní dobou.</t>
  </si>
  <si>
    <t>Narození 29. 2.</t>
  </si>
  <si>
    <t>Excel při posunu na neexistující 29. únor použije poslední den února. Kalkulačka proto u tohoto data vždy zobrazí výstrahu k ručnímu ověření hraničního věku.</t>
  </si>
  <si>
    <t>Technická a právní opatrnost.</t>
  </si>
  <si>
    <t>Doplňková tabulka Last / Next</t>
  </si>
  <si>
    <t>ECG a audiogram se počítají automaticky ze skutečného data Last, data narození, vydávané třídy a u audiogramu také z informace IR/BIR. Ophthalmologie a Other information obsahují řízené ruční vstupy tam, kde nelze termín určit jen z věku a třídy.</t>
  </si>
  <si>
    <t>MED.B.010, MED.B.070, MED.B.080 a příslušné AMC; univerzální formulář MC.</t>
  </si>
  <si>
    <t>ECG – Class 1</t>
  </si>
  <si>
    <t>První vyšetření; dále 60 měsíců do 30 let, 24 měsíců od 30 do 39 let, 12 měsíců od 40 do 49 let; od 50 let při každém prodloužení nebo obnově. Při TML nebo jiné kratší platnosti se další termín stanoví ručně.</t>
  </si>
  <si>
    <t>MED.B.010(a)(1)(i). Věk se posuzuje v den ECG Last.</t>
  </si>
  <si>
    <t>ECG – Class 2</t>
  </si>
  <si>
    <t>MED.B.010(a)(1)(ii).</t>
  </si>
  <si>
    <t>Class 1: při prvním vyšetření, dále každých 60 měsíců do 40 let, každých 24 měsíců od 40 do 59 let a každých 12 měsíců od 60 let. Class 2: stejná periodicita pouze u držitele IR nebo BIR. LAPL se nevyplňuje.</t>
  </si>
  <si>
    <t>MED.B.080; MED.A.030; poznámka pod tabulkou formuláře MC.</t>
  </si>
  <si>
    <t>Class 1: komplexní vyšetření očním specialistou při prvním vydání; další pevná periodicita pouze podle refrakční kategorie nebo individuálního omezení. Class 2/LAPL: odborné vyšetření na klinickou indikaci nebo v individuálně stanoveném termínu. Běžná kontrola zraku je součástí každého letecko-lékařského vyšetření. Pro Class 1 při single-pilot HEMS se po dosažení 60 let použije zvláštní roční periodicita komplexního očního vyšetření.</t>
  </si>
  <si>
    <t>MED.B.070 a AMC1/AMC2 MED.B.070; změna nařízením (EU) 2024/2076. Kalkulačka vyžaduje volbu režimu nebo ruční datum.</t>
  </si>
  <si>
    <t>Pole je obecné a nemá jednotnou periodickou lhůtu. Je-li použito, název, Last a případné Next se zadávají ručně podle konkrétního rozhodnutí, protokolu nebo omezení.</t>
  </si>
  <si>
    <t>Bez automatického právního předpokladu.</t>
  </si>
  <si>
    <t>Mimo rozsah</t>
  </si>
  <si>
    <t>Class 3 (ATCO), Cabin Crew, klinicky indikovaná vyšetření bez pevné lhůty a individuální termíny neuvedené uživatelem. Výstup nenahrazuje kontrolu zdravotnické dokumentace.</t>
  </si>
  <si>
    <t>Při pochybnosti má přednost Part-MED, AMC/GM a konkrétní rozhodnutí posudkového lékaře.</t>
  </si>
  <si>
    <t>ZDROJE A VERZE</t>
  </si>
  <si>
    <t>Dokument</t>
  </si>
  <si>
    <t>Použití</t>
  </si>
  <si>
    <t>URL / poznámka</t>
  </si>
  <si>
    <t>CAA-ZLP-152, změna č. 8/25 – Postupy pro AME-R</t>
  </si>
  <si>
    <t>Class 1 / Class 2 / LAPL, 45denní období, přechodové věky, pole XI</t>
  </si>
  <si>
    <t>https://www.caa.gov.cz/wp-content/uploads/2025/10/AME-R-ZLP-152-rev.-8_final.pdf</t>
  </si>
  <si>
    <t>CAA-ZLP-151, změna č. 6/26 – Postupy pro AME-Z</t>
  </si>
  <si>
    <t>Class 2 / LAPL, 45denní období, přechodové věky, pole XI</t>
  </si>
  <si>
    <t>https://www.caa.gov.cz/wp-content/uploads/2026/06/AME-Z-6final.pdf</t>
  </si>
  <si>
    <t>CAA-ZLP-154, změna č. 8/26 – Postupy pro AeMC</t>
  </si>
  <si>
    <t>https://www.caa.gov.cz/wp-content/uploads/2026/08/CAA-ZLP-154-Postupy-pro-AeMC-rev.-8_final.pdf</t>
  </si>
  <si>
    <t>EASA Easy Access Rules for Aircrew – revize listopad 2025</t>
  </si>
  <si>
    <t>Part-MED, včetně MED.B.010, MED.B.070 a MED.B.080</t>
  </si>
  <si>
    <t>https://www.easa.europa.eu/en/document-library/easy-access-rules/easy-access-rules-aircrew-regulation-eu-no-11782011</t>
  </si>
  <si>
    <t>Nařízení (EU) č. 1178/2011 – konsolidované znění k 30. 4. 2026</t>
  </si>
  <si>
    <t>Aktuální právní základ Part-MED</t>
  </si>
  <si>
    <t>https://eur-lex.europa.eu/legal-content/EN/TXT/HTML/?uri=CELEX:02011R1178-20260430</t>
  </si>
  <si>
    <t>Sestava MC 2026.doc – podklad dodaný uživatelem</t>
  </si>
  <si>
    <t>Rozložení polí včetně doplňkové tabulky Last / Next</t>
  </si>
  <si>
    <t>Interní podklad dodaný v této konverzaci; bez veřejného URL.</t>
  </si>
  <si>
    <t>AMC &amp; GM to Part-MED – Issue 2, Amendment 1 (05/02/2025)</t>
  </si>
  <si>
    <t>Ophthalmologie a další zdravotní požadavky</t>
  </si>
  <si>
    <t>https://www.easa.europa.eu/sites/default/files/dfu/amc_gm_to_part-med_-_issue_2_amendment_1.pdf</t>
  </si>
  <si>
    <t>UK CAA Medical Certificate Table of Validity Periods for Examinations and Tests</t>
  </si>
  <si>
    <t>Nezávazná kontrolní tabulka periodicity ECG, audiogramu a ophthalmologie</t>
  </si>
  <si>
    <t>https://www.caa.co.uk/media/jgbgqgsn/20250326-v111-medical-certificate-validity-table.pdf</t>
  </si>
  <si>
    <t>Prováděcí nařízení Komise (EU) 2024/2076</t>
  </si>
  <si>
    <t>Změna audiometrie od 60 let a požadavků pro Class 1 single-pilot HEMS; použitelná od 13. 2. 2025</t>
  </si>
  <si>
    <t>https://eur-lex.europa.eu/legal-content/CS/TXT/?uri=CELEX:32024R2076</t>
  </si>
  <si>
    <t>Revizní pokyn: po každé změně Part-MED, AMC/GM nebo postupů CAA-ZLP-151/152/154 je nutné znovu ověřit výpočetní logiku, zejména ophthalmologii a individuální termíny, a aktualizovat datum verze.</t>
  </si>
  <si>
    <t>KONTROLNÍ PŘÍPADY VÝPOČTU</t>
  </si>
  <si>
    <t>Očekávané výsledky byly vypočteny nezávislou kontrolní logikou; sloupec TEST musí po otevření v Excelu zobrazit PASS.</t>
  </si>
  <si>
    <t>ID</t>
  </si>
  <si>
    <t>Popis</t>
  </si>
  <si>
    <t>Třída</t>
  </si>
  <si>
    <t>Případ</t>
  </si>
  <si>
    <t>Vyšetření</t>
  </si>
  <si>
    <t>Předchozí konec</t>
  </si>
  <si>
    <t>Očekávaný režim</t>
  </si>
  <si>
    <t>Oček. počátek</t>
  </si>
  <si>
    <t>Oček. Class 1</t>
  </si>
  <si>
    <t>Oček. SP CAT</t>
  </si>
  <si>
    <t>Oček. Class 2</t>
  </si>
  <si>
    <t>Oček. LAPL</t>
  </si>
  <si>
    <t>Vypočtený režim</t>
  </si>
  <si>
    <t>Vypočt. počátek</t>
  </si>
  <si>
    <t>Vypočt. Class 1</t>
  </si>
  <si>
    <t>Vypočt. SP CAT</t>
  </si>
  <si>
    <t>Vypočt. Class 2</t>
  </si>
  <si>
    <t>Vypočt. LAPL</t>
  </si>
  <si>
    <t>TEST</t>
  </si>
  <si>
    <t>T01</t>
  </si>
  <si>
    <t>První vydání, Class 1, věk pod 40</t>
  </si>
  <si>
    <t>1. třída</t>
  </si>
  <si>
    <t>První vydání</t>
  </si>
  <si>
    <t>T02</t>
  </si>
  <si>
    <t>První vydání, věk 45 – SP CAT 6 měsíců</t>
  </si>
  <si>
    <t>T03</t>
  </si>
  <si>
    <t>Přesně 60. narozeniny</t>
  </si>
  <si>
    <t>T04</t>
  </si>
  <si>
    <t>Class 2 pod 40 – omezení do 42. narozenin</t>
  </si>
  <si>
    <t>2. třída</t>
  </si>
  <si>
    <t>T05</t>
  </si>
  <si>
    <t>Class 2 před 50 – omezení do 51. narozenin</t>
  </si>
  <si>
    <t>T06</t>
  </si>
  <si>
    <t>Přesně 50. narozeniny – Class 2 12 měsíců</t>
  </si>
  <si>
    <t>T07</t>
  </si>
  <si>
    <t>Včasné prodloužení 20 dnů před koncem</t>
  </si>
  <si>
    <t>Opakované vyšetření</t>
  </si>
  <si>
    <t>Prodloužení v 45denním období</t>
  </si>
  <si>
    <t>T08</t>
  </si>
  <si>
    <t>Přesně 45 dnů před koncem</t>
  </si>
  <si>
    <t>T09</t>
  </si>
  <si>
    <t>46 dnů před koncem – platnost od vyšetření</t>
  </si>
  <si>
    <t>Opakované vyšetření mimo 45denní období – platnost od vyšetření</t>
  </si>
  <si>
    <t>T10</t>
  </si>
  <si>
    <t>Obnova po skončení předchozí platnosti</t>
  </si>
  <si>
    <t>Obnova po skončení platnosti</t>
  </si>
  <si>
    <t>T11</t>
  </si>
  <si>
    <t>Přechod 40 let mezi vyšetřením a počátkem</t>
  </si>
  <si>
    <t>T12</t>
  </si>
  <si>
    <t>Přechod 50 let mezi vyšetřením a počátkem</t>
  </si>
  <si>
    <t>T13</t>
  </si>
  <si>
    <t>Přechod 60 let mezi vyšetřením a počátkem</t>
  </si>
  <si>
    <t>T14</t>
  </si>
  <si>
    <t>LAPL pod 40 – omezení do 42. narozenin</t>
  </si>
  <si>
    <t>T15</t>
  </si>
  <si>
    <t>Konec měsíce – chování EDATE</t>
  </si>
  <si>
    <t>T16</t>
  </si>
  <si>
    <t>Datum narození 29. 2. – technická kontrola</t>
  </si>
  <si>
    <t>Konstanta</t>
  </si>
  <si>
    <t>Hodnota</t>
  </si>
  <si>
    <t>Poznámka</t>
  </si>
  <si>
    <t>Režim ophthalmologie C1</t>
  </si>
  <si>
    <t>kalendářních dnů</t>
  </si>
  <si>
    <t>Měsíců v roce</t>
  </si>
  <si>
    <t>pro výpočet narozenin</t>
  </si>
  <si>
    <t>Ano</t>
  </si>
  <si>
    <t>5 let – refrakční kategorie</t>
  </si>
  <si>
    <t>Jiné / individuální</t>
  </si>
  <si>
    <t>Krátká platnost</t>
  </si>
  <si>
    <t>měsíců</t>
  </si>
  <si>
    <t>2 roky – refrakční kategorie / RXO</t>
  </si>
  <si>
    <t>Roční platnost</t>
  </si>
  <si>
    <t>Individuální datum – SIC/RXO/ÚCL</t>
  </si>
  <si>
    <t>Dvouletá platnost</t>
  </si>
  <si>
    <t>Pětiletá platnost</t>
  </si>
  <si>
    <t>Věk 40</t>
  </si>
  <si>
    <t>let</t>
  </si>
  <si>
    <t>Věk 42</t>
  </si>
  <si>
    <t>Věk 50</t>
  </si>
  <si>
    <t>Věk 51</t>
  </si>
  <si>
    <t>Věk 60</t>
  </si>
  <si>
    <t>Věk 30</t>
  </si>
  <si>
    <t>let – ECG Class 1</t>
  </si>
  <si>
    <t>Last</t>
  </si>
  <si>
    <t>Věk v Last</t>
  </si>
  <si>
    <t>Režim</t>
  </si>
  <si>
    <t>Výsledek vzorce</t>
  </si>
  <si>
    <t>Očekáváno</t>
  </si>
  <si>
    <t>Kontrola</t>
  </si>
  <si>
    <t>ECG C1</t>
  </si>
  <si>
    <t>C1</t>
  </si>
  <si>
    <t>ECG C2</t>
  </si>
  <si>
    <t>C2</t>
  </si>
  <si>
    <t>AUDIO</t>
  </si>
  <si>
    <t>Ophthalmologie</t>
  </si>
  <si>
    <t>OPH5</t>
  </si>
  <si>
    <t>OPH2</t>
  </si>
  <si>
    <t>Ophthalmologie HEMS 60+</t>
  </si>
  <si>
    <t>OPH_HEMS</t>
  </si>
  <si>
    <t>ECG C2 – hraniční případ uživatele</t>
  </si>
  <si>
    <t xml:space="preserve">4. VSTUPNÍ ÚDAJE DOPLŇKOVÉ PRO TABULKU „LAST / NEXT“									</t>
  </si>
  <si>
    <t>ECG Class 2: do pole Next se před dosažením 40 let uvádí datum 40. narozenin a po ECG provedeném mezi 40. a 50. rokem datum 50. narozenin. Toto datum je věkový spouštěč: od něj musí být ECG provedeno při nejbližším následujícím letecko-lékařském vyšetření; nejde o samostatný termín, kdy se držitel musí dostavit. Po 50. roce se Next počítá jako Last + 24 měsíců.</t>
  </si>
  <si>
    <t>První (vstupní) vyšetření; poté při nejbližším následujícím letecko-lékařském vyšetření po dosažení 40 let, znovu po dosažení 50 let a následně každých 24 měsíců. Pro účely pole Next se před 40. rokem zapisuje datum 40. narozenin, mezi 40. a 50. rokem datum 50. narozenin; tato data označují věkový spouštěč, nikoli povinnost dostavit se přesně v daný den. Od 50 let se Next počítá jako Last + 24 měsíců.</t>
  </si>
  <si>
    <t>Pro standardní výpočet vyplňte červená 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</si>
</sst>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0"/>
      <color rgb="FFFFFFFF"/>
      <name val="Calibri"/>
    </font>
    <font>
      <b/>
      <sz val="11"/>
      <color rgb="FFFFFFFF"/>
      <name val="Calibri"/>
    </font>
    <font>
      <b/>
      <sz val="9"/>
      <color rgb="FF000000"/>
      <name val="Calibri"/>
    </font>
    <font>
      <b/>
      <sz val="10"/>
      <color rgb="FF0000FF"/>
      <name val="Calibri"/>
    </font>
    <font>
      <sz val="9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FFFFFF"/>
      <name val="Calibri"/>
    </font>
    <font>
      <b/>
      <sz val="9"/>
      <color rgb="FF9C5700"/>
      <name val="Calibri"/>
    </font>
    <font>
      <sz val="9"/>
      <color rgb="FF9C5700"/>
      <name val="Calibri"/>
    </font>
    <font>
      <b/>
      <sz val="15"/>
      <color rgb="FFFFFFFF"/>
      <name val="Calibri"/>
    </font>
    <font>
      <b/>
      <sz val="10"/>
      <color rgb="FF17365D"/>
      <name val="Calibri"/>
    </font>
    <font>
      <b/>
      <sz val="11"/>
      <color rgb="FFFFFFFF"/>
      <name val="Calibri"/>
    </font>
    <font>
      <sz val="9"/>
      <color rgb="FF666666"/>
      <name val="Calibri"/>
    </font>
    <font>
      <b/>
      <sz val="11"/>
      <color rgb="FF0F243E"/>
      <name val="Calibri"/>
    </font>
    <font>
      <sz val="12"/>
      <color theme="10"/>
      <name val="Calibri"/>
      <family val="2"/>
      <scheme val="minor"/>
    </font>
    <font>
      <u/>
      <sz val="9"/>
      <color rgb="FF0563C1"/>
      <name val="Calibri"/>
    </font>
    <font>
      <i/>
      <sz val="9"/>
      <color rgb="FF17365D"/>
      <name val="Calibri"/>
    </font>
    <font>
      <b/>
      <sz val="8"/>
      <color rgb="FFFFFFFF"/>
      <name val="Calibri"/>
    </font>
    <font>
      <sz val="8"/>
      <color rgb="FF000000"/>
      <name val="Calibri"/>
    </font>
    <font>
      <sz val="10"/>
      <color rgb="FF000000"/>
      <name val="Aptos"/>
    </font>
    <font>
      <b/>
      <sz val="11"/>
      <color rgb="FFFFFFFF"/>
      <name val="Aptos Display"/>
    </font>
    <font>
      <i/>
      <sz val="9"/>
      <color rgb="FF666666"/>
      <name val="Aptos"/>
    </font>
    <font>
      <sz val="10"/>
      <color rgb="FF0000FF"/>
      <name val="Aptos"/>
    </font>
    <font>
      <sz val="9"/>
      <color rgb="FF000000"/>
      <name val="Aptos"/>
    </font>
    <font>
      <b/>
      <sz val="9"/>
      <color rgb="FFFFFFFF"/>
      <name val="Aptos"/>
    </font>
    <font>
      <b/>
      <sz val="9"/>
      <color rgb="FF000000"/>
      <name val="Aptos"/>
    </font>
    <font>
      <i/>
      <sz val="9"/>
      <color rgb="FF000000"/>
      <name val="Aptos"/>
    </font>
    <font>
      <b/>
      <sz val="9"/>
      <name val="Aptos"/>
    </font>
    <font>
      <sz val="9"/>
      <name val="Aptos"/>
    </font>
    <font>
      <sz val="9"/>
      <color theme="5" tint="-0.249977111117893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0F243E"/>
      </patternFill>
    </fill>
    <fill>
      <patternFill patternType="solid">
        <fgColor rgb="FF1F4E78"/>
      </patternFill>
    </fill>
    <fill>
      <patternFill patternType="solid">
        <fgColor rgb="FFEAF2F8"/>
      </patternFill>
    </fill>
    <fill>
      <patternFill patternType="solid">
        <fgColor rgb="FF17365D"/>
      </patternFill>
    </fill>
    <fill>
      <patternFill patternType="solid">
        <fgColor rgb="FFF3F6F8"/>
      </patternFill>
    </fill>
    <fill>
      <patternFill patternType="solid">
        <fgColor rgb="FFDDEBF7"/>
      </patternFill>
    </fill>
    <fill>
      <patternFill patternType="solid">
        <fgColor rgb="FFFFFFFF"/>
      </patternFill>
    </fill>
    <fill>
      <patternFill patternType="solid">
        <fgColor rgb="FFB4C6E7"/>
      </patternFill>
    </fill>
    <fill>
      <patternFill patternType="solid">
        <fgColor rgb="FF0F6B78"/>
      </patternFill>
    </fill>
    <fill>
      <patternFill patternType="solid">
        <fgColor rgb="FFFCE4D6"/>
      </patternFill>
    </fill>
    <fill>
      <patternFill patternType="solid">
        <fgColor rgb="FFEAF3F8"/>
      </patternFill>
    </fill>
    <fill>
      <patternFill patternType="solid">
        <fgColor rgb="FFE7E6E6"/>
      </patternFill>
    </fill>
    <fill>
      <patternFill patternType="solid">
        <fgColor rgb="FFF2F2F2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hair">
        <color rgb="FFD9E2F3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A6A6A6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/>
      <top/>
      <bottom style="hair">
        <color rgb="FFD9E2F3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/>
      <top/>
      <bottom style="hair">
        <color rgb="FFD9E2F3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rgb="FF9EADBA"/>
      </left>
      <right style="thin">
        <color rgb="FF9EADBA"/>
      </right>
      <top/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/>
      <right/>
      <top/>
      <bottom style="medium">
        <color rgb="FF1F4E78"/>
      </bottom>
      <diagonal/>
    </border>
  </borders>
  <cellStyleXfs count="2">
    <xf numFmtId="0" fontId="0" fillId="0" borderId="0"/>
    <xf numFmtId="0" fontId="17" fillId="0" borderId="0"/>
  </cellStyleXfs>
  <cellXfs count="75">
    <xf numFmtId="0" fontId="0" fillId="0" borderId="0" xfId="0"/>
    <xf numFmtId="14" fontId="0" fillId="0" borderId="0" xfId="0" applyNumberFormat="1"/>
    <xf numFmtId="0" fontId="14" fillId="5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vertical="top" wrapText="1"/>
    </xf>
    <xf numFmtId="0" fontId="15" fillId="8" borderId="4" xfId="0" applyFont="1" applyFill="1" applyBorder="1" applyAlignment="1">
      <alignment vertical="top" wrapText="1"/>
    </xf>
    <xf numFmtId="0" fontId="6" fillId="6" borderId="4" xfId="0" applyFont="1" applyFill="1" applyBorder="1" applyAlignment="1">
      <alignment vertical="top" wrapText="1"/>
    </xf>
    <xf numFmtId="0" fontId="15" fillId="6" borderId="4" xfId="0" applyFont="1" applyFill="1" applyBorder="1" applyAlignment="1">
      <alignment vertical="top" wrapText="1"/>
    </xf>
    <xf numFmtId="0" fontId="16" fillId="9" borderId="0" xfId="0" applyFont="1" applyFill="1" applyAlignment="1">
      <alignment horizontal="center" vertical="center"/>
    </xf>
    <xf numFmtId="0" fontId="18" fillId="8" borderId="4" xfId="1" applyFont="1" applyFill="1" applyBorder="1" applyAlignment="1">
      <alignment vertical="top" wrapText="1"/>
    </xf>
    <xf numFmtId="0" fontId="18" fillId="6" borderId="4" xfId="1" applyFont="1" applyFill="1" applyBorder="1" applyAlignment="1">
      <alignment vertical="top" wrapText="1"/>
    </xf>
    <xf numFmtId="0" fontId="20" fillId="5" borderId="3" xfId="0" applyFont="1" applyFill="1" applyBorder="1" applyAlignment="1">
      <alignment horizontal="center" vertical="center" wrapText="1"/>
    </xf>
    <xf numFmtId="0" fontId="21" fillId="8" borderId="4" xfId="0" applyFont="1" applyFill="1" applyBorder="1" applyAlignment="1">
      <alignment horizontal="center" vertical="top" wrapText="1"/>
    </xf>
    <xf numFmtId="0" fontId="21" fillId="8" borderId="4" xfId="0" applyFont="1" applyFill="1" applyBorder="1" applyAlignment="1">
      <alignment horizontal="left" vertical="top" wrapText="1"/>
    </xf>
    <xf numFmtId="14" fontId="21" fillId="8" borderId="4" xfId="0" applyNumberFormat="1" applyFont="1" applyFill="1" applyBorder="1" applyAlignment="1">
      <alignment horizontal="center" vertical="top" wrapText="1"/>
    </xf>
    <xf numFmtId="0" fontId="21" fillId="6" borderId="4" xfId="0" applyFont="1" applyFill="1" applyBorder="1" applyAlignment="1">
      <alignment horizontal="center" vertical="top" wrapText="1"/>
    </xf>
    <xf numFmtId="0" fontId="21" fillId="6" borderId="4" xfId="0" applyFont="1" applyFill="1" applyBorder="1" applyAlignment="1">
      <alignment horizontal="left" vertical="top" wrapText="1"/>
    </xf>
    <xf numFmtId="14" fontId="21" fillId="6" borderId="4" xfId="0" applyNumberFormat="1" applyFont="1" applyFill="1" applyBorder="1" applyAlignment="1">
      <alignment horizontal="center" vertical="top" wrapText="1"/>
    </xf>
    <xf numFmtId="0" fontId="25" fillId="7" borderId="12" xfId="0" applyFont="1" applyFill="1" applyBorder="1" applyAlignment="1" applyProtection="1">
      <alignment vertical="center" wrapText="1"/>
      <protection locked="0"/>
    </xf>
    <xf numFmtId="0" fontId="22" fillId="8" borderId="11" xfId="0" applyFont="1" applyFill="1" applyBorder="1" applyAlignment="1">
      <alignment vertical="center"/>
    </xf>
    <xf numFmtId="14" fontId="25" fillId="7" borderId="12" xfId="0" applyNumberFormat="1" applyFont="1" applyFill="1" applyBorder="1" applyAlignment="1" applyProtection="1">
      <alignment vertical="center" wrapText="1"/>
      <protection locked="0"/>
    </xf>
    <xf numFmtId="0" fontId="22" fillId="0" borderId="11" xfId="0" applyFont="1" applyBorder="1" applyAlignment="1">
      <alignment vertical="center"/>
    </xf>
    <xf numFmtId="0" fontId="14" fillId="3" borderId="0" xfId="0" applyFont="1" applyFill="1"/>
    <xf numFmtId="0" fontId="14" fillId="3" borderId="0" xfId="0" applyFont="1" applyFill="1" applyAlignment="1">
      <alignment vertical="center" wrapText="1"/>
    </xf>
    <xf numFmtId="14" fontId="5" fillId="15" borderId="17" xfId="0" applyNumberFormat="1" applyFont="1" applyFill="1" applyBorder="1" applyAlignment="1" applyProtection="1">
      <alignment horizontal="center" vertical="center"/>
      <protection locked="0"/>
    </xf>
    <xf numFmtId="0" fontId="5" fillId="15" borderId="17" xfId="0" applyFont="1" applyFill="1" applyBorder="1" applyAlignment="1" applyProtection="1">
      <alignment horizontal="center" vertical="center"/>
      <protection locked="0"/>
    </xf>
    <xf numFmtId="14" fontId="5" fillId="7" borderId="18" xfId="0" applyNumberFormat="1" applyFont="1" applyFill="1" applyBorder="1" applyAlignment="1" applyProtection="1">
      <alignment horizontal="center" vertical="center"/>
      <protection locked="0"/>
    </xf>
    <xf numFmtId="0" fontId="25" fillId="15" borderId="17" xfId="0" applyFont="1" applyFill="1" applyBorder="1" applyAlignment="1" applyProtection="1">
      <alignment vertical="center" wrapText="1"/>
      <protection locked="0"/>
    </xf>
    <xf numFmtId="14" fontId="25" fillId="15" borderId="17" xfId="0" applyNumberFormat="1" applyFont="1" applyFill="1" applyBorder="1" applyAlignment="1" applyProtection="1">
      <alignment vertical="center" wrapText="1"/>
      <protection locked="0"/>
    </xf>
    <xf numFmtId="14" fontId="25" fillId="7" borderId="19" xfId="0" applyNumberFormat="1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>
      <alignment horizontal="center" vertical="center"/>
    </xf>
    <xf numFmtId="0" fontId="0" fillId="0" borderId="0" xfId="0"/>
    <xf numFmtId="14" fontId="7" fillId="7" borderId="1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6" fillId="8" borderId="9" xfId="0" applyFont="1" applyFill="1" applyBorder="1" applyAlignment="1">
      <alignment vertical="center" wrapText="1"/>
    </xf>
    <xf numFmtId="0" fontId="0" fillId="0" borderId="7" xfId="0" applyBorder="1"/>
    <xf numFmtId="14" fontId="26" fillId="7" borderId="1" xfId="0" applyNumberFormat="1" applyFont="1" applyFill="1" applyBorder="1" applyAlignment="1">
      <alignment horizontal="center" vertical="center" wrapText="1"/>
    </xf>
    <xf numFmtId="0" fontId="22" fillId="13" borderId="9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6" fillId="14" borderId="9" xfId="0" applyFont="1" applyFill="1" applyBorder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4" fillId="8" borderId="9" xfId="0" applyFont="1" applyFill="1" applyBorder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32" fillId="4" borderId="0" xfId="0" applyFont="1" applyFill="1" applyAlignment="1">
      <alignment horizontal="left" vertical="center"/>
    </xf>
    <xf numFmtId="0" fontId="31" fillId="13" borderId="9" xfId="0" applyFont="1" applyFill="1" applyBorder="1" applyAlignment="1">
      <alignment vertical="center" wrapText="1"/>
    </xf>
    <xf numFmtId="0" fontId="24" fillId="12" borderId="9" xfId="0" applyFont="1" applyFill="1" applyBorder="1" applyAlignment="1">
      <alignment vertical="center" wrapText="1"/>
    </xf>
    <xf numFmtId="0" fontId="0" fillId="0" borderId="11" xfId="0" applyBorder="1"/>
    <xf numFmtId="0" fontId="4" fillId="9" borderId="0" xfId="0" applyFont="1" applyFill="1" applyAlignment="1">
      <alignment vertical="center" wrapText="1"/>
    </xf>
    <xf numFmtId="0" fontId="9" fillId="10" borderId="0" xfId="0" applyFont="1" applyFill="1" applyAlignment="1">
      <alignment horizontal="left" vertical="center"/>
    </xf>
    <xf numFmtId="0" fontId="22" fillId="13" borderId="2" xfId="0" applyFont="1" applyFill="1" applyBorder="1" applyAlignment="1">
      <alignment vertical="center" wrapText="1"/>
    </xf>
    <xf numFmtId="14" fontId="4" fillId="8" borderId="9" xfId="0" applyNumberFormat="1" applyFont="1" applyFill="1" applyBorder="1" applyAlignment="1">
      <alignment vertical="center" wrapText="1"/>
    </xf>
    <xf numFmtId="0" fontId="30" fillId="13" borderId="9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23" fillId="3" borderId="16" xfId="0" applyFont="1" applyFill="1" applyBorder="1" applyAlignment="1">
      <alignment horizontal="left" vertical="center"/>
    </xf>
    <xf numFmtId="0" fontId="0" fillId="0" borderId="14" xfId="0" applyBorder="1"/>
    <xf numFmtId="0" fontId="3" fillId="5" borderId="10" xfId="0" applyFont="1" applyFill="1" applyBorder="1" applyAlignment="1">
      <alignment horizontal="left" vertical="center"/>
    </xf>
    <xf numFmtId="0" fontId="0" fillId="0" borderId="8" xfId="0" applyBorder="1"/>
    <xf numFmtId="0" fontId="11" fillId="11" borderId="0" xfId="0" applyFont="1" applyFill="1" applyAlignment="1">
      <alignment vertical="center" wrapText="1"/>
    </xf>
    <xf numFmtId="0" fontId="29" fillId="14" borderId="9" xfId="0" applyFont="1" applyFill="1" applyBorder="1" applyAlignment="1">
      <alignment vertical="center" wrapText="1"/>
    </xf>
    <xf numFmtId="0" fontId="29" fillId="11" borderId="9" xfId="0" applyFont="1" applyFill="1" applyBorder="1" applyAlignment="1">
      <alignment vertical="center" wrapText="1"/>
    </xf>
    <xf numFmtId="0" fontId="28" fillId="13" borderId="1" xfId="0" applyFont="1" applyFill="1" applyBorder="1" applyAlignment="1">
      <alignment horizontal="left" vertical="center" wrapText="1"/>
    </xf>
    <xf numFmtId="0" fontId="0" fillId="0" borderId="20" xfId="0" applyBorder="1"/>
    <xf numFmtId="0" fontId="29" fillId="11" borderId="2" xfId="0" applyFont="1" applyFill="1" applyBorder="1" applyAlignment="1">
      <alignment vertical="center" wrapText="1"/>
    </xf>
    <xf numFmtId="0" fontId="10" fillId="11" borderId="0" xfId="0" applyFont="1" applyFill="1" applyAlignment="1">
      <alignment vertical="center" wrapText="1"/>
    </xf>
    <xf numFmtId="14" fontId="6" fillId="8" borderId="9" xfId="0" applyNumberFormat="1" applyFont="1" applyFill="1" applyBorder="1" applyAlignment="1">
      <alignment vertical="center" wrapText="1"/>
    </xf>
    <xf numFmtId="0" fontId="3" fillId="5" borderId="0" xfId="0" applyFont="1" applyFill="1" applyAlignment="1">
      <alignment horizontal="left" vertical="center"/>
    </xf>
    <xf numFmtId="0" fontId="28" fillId="14" borderId="9" xfId="0" applyFont="1" applyFill="1" applyBorder="1" applyAlignment="1">
      <alignment vertical="center" wrapText="1"/>
    </xf>
    <xf numFmtId="0" fontId="26" fillId="14" borderId="2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6" fillId="11" borderId="15" xfId="0" applyFont="1" applyFill="1" applyBorder="1" applyAlignment="1">
      <alignment vertical="center" wrapText="1"/>
    </xf>
    <xf numFmtId="0" fontId="0" fillId="0" borderId="13" xfId="0" applyBorder="1"/>
    <xf numFmtId="0" fontId="13" fillId="4" borderId="0" xfId="0" applyFont="1" applyFill="1" applyAlignment="1">
      <alignment vertical="center" wrapText="1"/>
    </xf>
    <xf numFmtId="0" fontId="19" fillId="4" borderId="0" xfId="0" applyFont="1" applyFill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22"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375623"/>
      </font>
      <fill>
        <patternFill patternType="solid">
          <fgColor rgb="FFE2F0D9"/>
        </patternFill>
      </fill>
    </dxf>
    <dxf>
      <font>
        <b/>
        <color rgb="FF9C5700"/>
      </font>
      <fill>
        <patternFill patternType="solid">
          <fgColor rgb="FFFCE4D6"/>
        </patternFill>
      </fill>
    </dxf>
    <dxf>
      <font>
        <b/>
        <color rgb="FF9C5700"/>
      </font>
      <fill>
        <patternFill patternType="solid">
          <fgColor rgb="FFFCE4D6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375623"/>
      </font>
      <fill>
        <patternFill patternType="solid">
          <fgColor rgb="FFE2F0D9"/>
        </patternFill>
      </fill>
    </dxf>
    <dxf>
      <font>
        <b/>
        <color rgb="FF9C5700"/>
      </font>
      <fill>
        <patternFill patternType="solid">
          <fgColor rgb="FFFCE4D6"/>
        </patternFill>
      </fill>
    </dxf>
    <dxf>
      <font>
        <b/>
        <color rgb="FF666666"/>
      </font>
      <fill>
        <patternFill patternType="solid">
          <fgColor rgb="FFE7E6E6"/>
        </patternFill>
      </fill>
    </dxf>
    <dxf>
      <font>
        <b/>
        <color rgb="FF9C5700"/>
      </font>
      <fill>
        <patternFill patternType="solid">
          <fgColor rgb="FFFCE4D6"/>
        </patternFill>
      </fill>
    </dxf>
    <dxf>
      <font>
        <b/>
        <color rgb="FF666666"/>
      </font>
      <fill>
        <patternFill patternType="solid">
          <fgColor rgb="FFE7E6E6"/>
        </patternFill>
      </fill>
    </dxf>
    <dxf>
      <font>
        <b/>
        <color rgb="FF9C5700"/>
      </font>
      <fill>
        <patternFill patternType="solid">
          <fgColor rgb="FFFCE4D6"/>
        </patternFill>
      </fill>
    </dxf>
    <dxf>
      <font>
        <b/>
        <color rgb="FF666666"/>
      </font>
      <fill>
        <patternFill patternType="solid">
          <fgColor rgb="FFE7E6E6"/>
        </patternFill>
      </fill>
    </dxf>
    <dxf>
      <font>
        <b/>
        <color rgb="FF9C5700"/>
      </font>
      <fill>
        <patternFill patternType="solid">
          <fgColor rgb="FFFCE4D6"/>
        </patternFill>
      </fill>
    </dxf>
    <dxf>
      <font>
        <b/>
        <color rgb="FF666666"/>
      </font>
      <fill>
        <patternFill patternType="solid">
          <fgColor rgb="FFE7E6E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  <dxf>
      <font>
        <i/>
        <color rgb="FF666666"/>
      </font>
      <fill>
        <patternFill patternType="solid">
          <fgColor rgb="FFE7E6E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7"/>
  <sheetViews>
    <sheetView showGridLines="0" tabSelected="1" workbookViewId="0">
      <pane ySplit="4" topLeftCell="A5" activePane="bottomLeft" state="frozen"/>
      <selection pane="bottomLeft" activeCell="C6" sqref="C6"/>
    </sheetView>
  </sheetViews>
  <sheetFormatPr defaultRowHeight="15" x14ac:dyDescent="0.25"/>
  <cols>
    <col min="1" max="1" width="23" customWidth="1"/>
    <col min="2" max="2" width="12" customWidth="1"/>
    <col min="3" max="3" width="31" customWidth="1"/>
    <col min="4" max="4" width="1.42578125" customWidth="1"/>
    <col min="5" max="5" width="3" customWidth="1"/>
    <col min="6" max="6" width="23" customWidth="1"/>
    <col min="7" max="7" width="30" customWidth="1"/>
    <col min="8" max="10" width="17" customWidth="1"/>
    <col min="11" max="26" width="13" hidden="1" customWidth="1"/>
  </cols>
  <sheetData>
    <row r="1" spans="1:14" ht="33.950000000000003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4" ht="23.1" customHeight="1" x14ac:dyDescent="0.25">
      <c r="A2" s="41" t="s">
        <v>1</v>
      </c>
      <c r="B2" s="30"/>
      <c r="C2" s="30"/>
      <c r="D2" s="30"/>
      <c r="E2" s="30"/>
      <c r="F2" s="30"/>
      <c r="G2" s="30"/>
      <c r="H2" s="30"/>
      <c r="I2" s="30"/>
      <c r="J2" s="30"/>
      <c r="M2" t="s">
        <v>2</v>
      </c>
      <c r="N2" t="str">
        <f>IF($C$6="","DOPLŇTE DATUM NAROZENÍ",IF(NOT(ISNUMBER($C$6)),"CHYBA: datum narození není platné datum","OK"))</f>
        <v>DOPLŇTE DATUM NAROZENÍ</v>
      </c>
    </row>
    <row r="3" spans="1:14" ht="20.100000000000001" customHeight="1" x14ac:dyDescent="0.25">
      <c r="A3" s="44" t="s">
        <v>321</v>
      </c>
      <c r="B3" s="44"/>
      <c r="C3" s="44"/>
      <c r="D3" s="44"/>
      <c r="E3" s="44"/>
      <c r="F3" s="44"/>
      <c r="G3" s="44"/>
      <c r="H3" s="44"/>
      <c r="I3" s="44"/>
      <c r="J3" s="44"/>
      <c r="M3" t="s">
        <v>3</v>
      </c>
      <c r="N3" t="str">
        <f>IF($C$7="","VYBERTE VYDÁVANOU TŘÍDU",IF(OR($C$7="1. třída",$C$7="2. třída",$C$7="LAPL"),"OK","CHYBA: neplatná vydávaná třída"))</f>
        <v>VYBERTE VYDÁVANOU TŘÍDU</v>
      </c>
    </row>
    <row r="4" spans="1:14" x14ac:dyDescent="0.25">
      <c r="M4" t="s">
        <v>4</v>
      </c>
      <c r="N4" t="str">
        <f>IF($C$8="","VYBERTE DRUH PŘÍPADU",IF(OR($C$8="První vydání",$C$8="Opakované vyšetření"),"OK","CHYBA: neplatný druh případu"))</f>
        <v>VYBERTE DRUH PŘÍPADU</v>
      </c>
    </row>
    <row r="5" spans="1:14" ht="24" customHeight="1" thickBot="1" x14ac:dyDescent="0.3">
      <c r="A5" s="66" t="s">
        <v>5</v>
      </c>
      <c r="B5" s="30"/>
      <c r="C5" s="30"/>
      <c r="D5" s="30"/>
      <c r="F5" s="66" t="s">
        <v>6</v>
      </c>
      <c r="G5" s="30"/>
      <c r="H5" s="30"/>
      <c r="I5" s="30"/>
      <c r="J5" s="30"/>
      <c r="M5" t="s">
        <v>7</v>
      </c>
      <c r="N5" t="str">
        <f>IF($C$9="","DOPLŇTE DEN UKONČENÍ VYŠETŘENÍ",IF(NOT(ISNUMBER($C$9)),"CHYBA: datum vyšetření není platné",IF(AND(ISNUMBER($C$6),$C$9&lt;$C$6),"CHYBA: vyšetření předchází narození","OK")))</f>
        <v>DOPLŇTE DEN UKONČENÍ VYŠETŘENÍ</v>
      </c>
    </row>
    <row r="6" spans="1:14" ht="30.95" customHeight="1" thickBot="1" x14ac:dyDescent="0.3">
      <c r="A6" s="43" t="s">
        <v>8</v>
      </c>
      <c r="B6" s="30"/>
      <c r="C6" s="23"/>
      <c r="F6" s="43" t="s">
        <v>9</v>
      </c>
      <c r="G6" s="30"/>
      <c r="H6" s="42" t="str">
        <f>N9</f>
        <v>DOPLŇTE DATUM NAROZENÍ</v>
      </c>
      <c r="I6" s="35"/>
      <c r="J6" s="35"/>
      <c r="M6" t="s">
        <v>10</v>
      </c>
      <c r="N6" t="str">
        <f>IF($C$8&lt;&gt;"Opakované vyšetření","OK",IF($C$10="","DOPLŇTE KONEC PLATNOSTI PŘEDCHOZÍHO OZZ",IF(NOT(ISNUMBER($C$10)),"CHYBA: konec předchozí platnosti není platné datum",IF(AND(ISNUMBER($C$6),$C$10&lt;$C$6),"CHYBA: konec předchozí platnosti předchází narození","OK"))))</f>
        <v>OK</v>
      </c>
    </row>
    <row r="7" spans="1:14" ht="30.95" customHeight="1" thickBot="1" x14ac:dyDescent="0.3">
      <c r="A7" s="43" t="s">
        <v>11</v>
      </c>
      <c r="B7" s="30"/>
      <c r="C7" s="24"/>
      <c r="F7" s="43" t="s">
        <v>12</v>
      </c>
      <c r="G7" s="30"/>
      <c r="H7" s="42" t="str">
        <f>N23</f>
        <v/>
      </c>
      <c r="I7" s="35"/>
      <c r="J7" s="35"/>
      <c r="M7" t="s">
        <v>13</v>
      </c>
      <c r="N7" t="str">
        <f>IF($C$11="","OK",IF(NOT(ISNUMBER($C$11)),"CHYBA: datum vydání není platné",IF(AND(ISNUMBER($C$9),$C$11&lt;$C$9),"CHYBA: datum vydání je před ukončením vyšetření","OK")))</f>
        <v>OK</v>
      </c>
    </row>
    <row r="8" spans="1:14" ht="26.1" customHeight="1" thickBot="1" x14ac:dyDescent="0.3">
      <c r="A8" s="43" t="s">
        <v>14</v>
      </c>
      <c r="B8" s="30"/>
      <c r="C8" s="24"/>
      <c r="F8" s="40" t="s">
        <v>15</v>
      </c>
      <c r="G8" s="30"/>
      <c r="H8" s="65" t="str">
        <f>N32</f>
        <v/>
      </c>
      <c r="I8" s="35"/>
      <c r="J8" s="35"/>
      <c r="M8" t="s">
        <v>16</v>
      </c>
      <c r="N8" t="str">
        <f>IF($C$12="","VYBERTE, ZDA JDE O TML / INDIVIDUÁLNÍ PLATNOST",IF(AND($C$12&lt;&gt;"Ano",$C$12&lt;&gt;"Ne"),"CHYBA: neplatná volba TML",IF($C$12="Ano","NELZE AUTOMATICKY – TML / INDIVIDUÁLNĚ ZKRÁCENÁ PLATNOST","OK")))</f>
        <v>OK</v>
      </c>
    </row>
    <row r="9" spans="1:14" ht="26.1" customHeight="1" thickBot="1" x14ac:dyDescent="0.3">
      <c r="A9" s="43" t="s">
        <v>17</v>
      </c>
      <c r="B9" s="30"/>
      <c r="C9" s="23"/>
      <c r="F9" s="43" t="s">
        <v>18</v>
      </c>
      <c r="G9" s="30"/>
      <c r="H9" s="51" t="str">
        <f>N13</f>
        <v/>
      </c>
      <c r="I9" s="35"/>
      <c r="J9" s="35"/>
      <c r="M9" t="s">
        <v>19</v>
      </c>
      <c r="N9" t="str">
        <f>IF(N2&lt;&gt;"OK",N2,IF(N3&lt;&gt;"OK",N3,IF(N4&lt;&gt;"OK",N4,IF(N5&lt;&gt;"OK",N5,IF(N6&lt;&gt;"OK",N6,IF(N7&lt;&gt;"OK",N7,IF(N8&lt;&gt;"OK",N8,"VSTUPY V POŘÁDKU")))))))</f>
        <v>DOPLŇTE DATUM NAROZENÍ</v>
      </c>
    </row>
    <row r="10" spans="1:14" ht="26.1" customHeight="1" thickBot="1" x14ac:dyDescent="0.3">
      <c r="A10" s="40" t="s">
        <v>20</v>
      </c>
      <c r="B10" s="30"/>
      <c r="C10" s="23"/>
      <c r="F10" s="43" t="s">
        <v>21</v>
      </c>
      <c r="G10" s="30"/>
      <c r="H10" s="51" t="str">
        <f>N14</f>
        <v/>
      </c>
      <c r="I10" s="35"/>
      <c r="J10" s="35"/>
      <c r="M10" t="s">
        <v>22</v>
      </c>
      <c r="N10" t="b">
        <f>AND(N2="OK",N3="OK",N4="OK",N5="OK",N6="OK",N7="OK",$C$12&lt;&gt;"")</f>
        <v>0</v>
      </c>
    </row>
    <row r="11" spans="1:14" ht="26.1" customHeight="1" thickBot="1" x14ac:dyDescent="0.3">
      <c r="A11" s="40" t="s">
        <v>23</v>
      </c>
      <c r="B11" s="30"/>
      <c r="C11" s="25"/>
      <c r="F11" s="40" t="s">
        <v>24</v>
      </c>
      <c r="G11" s="30"/>
      <c r="H11" s="34" t="str">
        <f>IF(N21="","",N21&amp;" let")</f>
        <v/>
      </c>
      <c r="I11" s="35"/>
      <c r="J11" s="35"/>
      <c r="M11" t="s">
        <v>25</v>
      </c>
      <c r="N11" t="b">
        <f>N9="VSTUPY V POŘÁDKU"</f>
        <v>0</v>
      </c>
    </row>
    <row r="12" spans="1:14" ht="26.1" customHeight="1" thickBot="1" x14ac:dyDescent="0.3">
      <c r="A12" s="40" t="s">
        <v>26</v>
      </c>
      <c r="B12" s="30"/>
      <c r="C12" s="24" t="s">
        <v>27</v>
      </c>
      <c r="F12" s="40" t="s">
        <v>28</v>
      </c>
      <c r="G12" s="30"/>
      <c r="H12" s="34" t="str">
        <f>IF(N22="","",N22&amp;" let")</f>
        <v/>
      </c>
      <c r="I12" s="35"/>
      <c r="J12" s="35"/>
      <c r="M12" t="s">
        <v>29</v>
      </c>
      <c r="N12" t="b">
        <f>AND(N11,$C$8="Opakované vyšetření",$C$9&gt;=$C$10-Číselníky!$B$2,$C$9&lt;=$C$10)</f>
        <v>0</v>
      </c>
    </row>
    <row r="13" spans="1:14" ht="51.95" customHeight="1" x14ac:dyDescent="0.25">
      <c r="F13" s="40" t="s">
        <v>30</v>
      </c>
      <c r="G13" s="30"/>
      <c r="H13" s="34" t="str">
        <f>N28&amp;IF(AND(N28&lt;&gt;"",N29&lt;&gt;""),CHAR(10),"")&amp;N29</f>
        <v/>
      </c>
      <c r="I13" s="35"/>
      <c r="J13" s="35"/>
      <c r="M13" t="s">
        <v>31</v>
      </c>
      <c r="N13" s="1" t="str">
        <f>IF(N11,IF(N12,$C$10,$C$9),"")</f>
        <v/>
      </c>
    </row>
    <row r="14" spans="1:14" ht="42.95" customHeight="1" x14ac:dyDescent="0.25">
      <c r="F14" s="40" t="s">
        <v>32</v>
      </c>
      <c r="G14" s="30"/>
      <c r="H14" s="34" t="str">
        <f>N30</f>
        <v/>
      </c>
      <c r="I14" s="35"/>
      <c r="J14" s="35"/>
      <c r="M14" t="s">
        <v>33</v>
      </c>
      <c r="N14" s="1" t="str">
        <f>IF(N11,IF(N12,$C$10+1,$C$9),"")</f>
        <v/>
      </c>
    </row>
    <row r="15" spans="1:14" x14ac:dyDescent="0.25">
      <c r="M15" t="s">
        <v>34</v>
      </c>
      <c r="N15" s="1" t="str">
        <f>IF(N10,IF($C$11="",$C$9,$C$11),"")</f>
        <v/>
      </c>
    </row>
    <row r="16" spans="1:14" ht="24" customHeight="1" x14ac:dyDescent="0.25">
      <c r="A16" s="56" t="s">
        <v>35</v>
      </c>
      <c r="B16" s="57"/>
      <c r="C16" s="57"/>
      <c r="D16" s="57"/>
      <c r="E16" s="57"/>
      <c r="F16" s="57"/>
      <c r="G16" s="57"/>
      <c r="H16" s="57"/>
      <c r="I16" s="57"/>
      <c r="J16" s="57"/>
      <c r="M16" t="s">
        <v>36</v>
      </c>
      <c r="N16" s="1" t="str">
        <f>IF(ISNUMBER($C$6),EDATE($C$6,Číselníky!$B$8*Číselníky!$B$3),"")</f>
        <v/>
      </c>
    </row>
    <row r="17" spans="1:14" ht="27.95" customHeight="1" x14ac:dyDescent="0.25">
      <c r="A17" s="40" t="s">
        <v>37</v>
      </c>
      <c r="B17" s="30"/>
      <c r="C17" s="30"/>
      <c r="D17" s="30"/>
      <c r="E17" s="30"/>
      <c r="F17" s="30"/>
      <c r="G17" s="31" t="str">
        <f>IF(N10,N15,"")</f>
        <v/>
      </c>
      <c r="H17" s="32"/>
      <c r="I17" s="32"/>
      <c r="J17" s="33"/>
      <c r="M17" t="s">
        <v>38</v>
      </c>
      <c r="N17" s="1" t="str">
        <f>IF(ISNUMBER($C$6),EDATE($C$6,Číselníky!$B$9*Číselníky!$B$3),"")</f>
        <v/>
      </c>
    </row>
    <row r="18" spans="1:14" ht="27.95" customHeight="1" x14ac:dyDescent="0.25">
      <c r="A18" s="40" t="s">
        <v>39</v>
      </c>
      <c r="B18" s="30"/>
      <c r="C18" s="30"/>
      <c r="D18" s="30"/>
      <c r="E18" s="30"/>
      <c r="F18" s="30"/>
      <c r="G18" s="31" t="str">
        <f>IF(N10,$C$9,"")</f>
        <v/>
      </c>
      <c r="H18" s="32"/>
      <c r="I18" s="32"/>
      <c r="J18" s="33"/>
      <c r="M18" t="s">
        <v>40</v>
      </c>
      <c r="N18" s="1" t="str">
        <f>IF(ISNUMBER($C$6),EDATE($C$6,Číselníky!$B$10*Číselníky!$B$3),"")</f>
        <v/>
      </c>
    </row>
    <row r="19" spans="1:14" ht="23.1" customHeight="1" x14ac:dyDescent="0.25">
      <c r="A19" s="49" t="s">
        <v>41</v>
      </c>
      <c r="B19" s="30"/>
      <c r="C19" s="30"/>
      <c r="D19" s="30"/>
      <c r="E19" s="30"/>
      <c r="F19" s="30"/>
      <c r="G19" s="30"/>
      <c r="H19" s="30"/>
      <c r="I19" s="30"/>
      <c r="J19" s="30"/>
      <c r="M19" t="s">
        <v>42</v>
      </c>
      <c r="N19" s="1" t="str">
        <f>IF(ISNUMBER($C$6),EDATE($C$6,Číselníky!$B$11*Číselníky!$B$3),"")</f>
        <v/>
      </c>
    </row>
    <row r="20" spans="1:14" ht="27.95" customHeight="1" x14ac:dyDescent="0.25">
      <c r="A20" s="48" t="s">
        <v>43</v>
      </c>
      <c r="B20" s="30"/>
      <c r="C20" s="30"/>
      <c r="D20" s="30"/>
      <c r="E20" s="30"/>
      <c r="F20" s="30"/>
      <c r="G20" s="31" t="str">
        <f>IF($C$12="Ano","STANOVIT RUČNĚ",IF(N11,IF($C$7="1. třída",N24,"PROŠKRTNOUT"),""))</f>
        <v/>
      </c>
      <c r="H20" s="32"/>
      <c r="I20" s="32"/>
      <c r="J20" s="33"/>
      <c r="M20" t="s">
        <v>44</v>
      </c>
      <c r="N20" s="1" t="str">
        <f>IF(ISNUMBER($C$6),EDATE($C$6,Číselníky!$B$12*Číselníky!$B$3),"")</f>
        <v/>
      </c>
    </row>
    <row r="21" spans="1:14" ht="42" customHeight="1" x14ac:dyDescent="0.25">
      <c r="A21" s="48" t="s">
        <v>45</v>
      </c>
      <c r="B21" s="30"/>
      <c r="C21" s="30"/>
      <c r="D21" s="30"/>
      <c r="E21" s="30"/>
      <c r="F21" s="30"/>
      <c r="G21" s="31" t="str">
        <f>IF($C$12="Ano","STANOVIT RUČNĚ",IF(N11,IF($C$7="1. třída",N25,"PROŠKRTNOUT"),""))</f>
        <v/>
      </c>
      <c r="H21" s="32"/>
      <c r="I21" s="32"/>
      <c r="J21" s="33"/>
      <c r="M21" t="s">
        <v>46</v>
      </c>
      <c r="N21" t="str">
        <f>IF(AND(ISNUMBER($C$6),ISNUMBER($C$9)),DATEDIF($C$6,$C$9,"Y"),"")</f>
        <v/>
      </c>
    </row>
    <row r="22" spans="1:14" ht="27.95" customHeight="1" x14ac:dyDescent="0.25">
      <c r="A22" s="48" t="s">
        <v>47</v>
      </c>
      <c r="B22" s="30"/>
      <c r="C22" s="30"/>
      <c r="D22" s="30"/>
      <c r="E22" s="30"/>
      <c r="F22" s="30"/>
      <c r="G22" s="31" t="str">
        <f>IF($C$12="Ano","STANOVIT RUČNĚ",IF(N11,IF(OR($C$7="1. třída",$C$7="2. třída"),N26,"PROŠKRTNOUT"),""))</f>
        <v/>
      </c>
      <c r="H22" s="32"/>
      <c r="I22" s="32"/>
      <c r="J22" s="33"/>
      <c r="M22" t="s">
        <v>48</v>
      </c>
      <c r="N22" t="str">
        <f>IF(N11,DATEDIF($C$6,N14,"Y"),"")</f>
        <v/>
      </c>
    </row>
    <row r="23" spans="1:14" ht="27.95" customHeight="1" x14ac:dyDescent="0.25">
      <c r="A23" s="48" t="s">
        <v>49</v>
      </c>
      <c r="B23" s="30"/>
      <c r="C23" s="30"/>
      <c r="D23" s="30"/>
      <c r="E23" s="30"/>
      <c r="F23" s="30"/>
      <c r="G23" s="31" t="str">
        <f>IF($C$12="Ano","STANOVIT RUČNĚ",IF(N11,N27,""))</f>
        <v/>
      </c>
      <c r="H23" s="32"/>
      <c r="I23" s="32"/>
      <c r="J23" s="33"/>
      <c r="M23" t="s">
        <v>50</v>
      </c>
      <c r="N23" t="str">
        <f>IF(N11,IF($C$8="První vydání","První vydání",IF($C$9&gt;$C$10,"Obnova po skončení platnosti",IF(N12,"Prodloužení v 45denním období","Opakované vyšetření mimo 45denní období – platnost od vyšetření"))),"")</f>
        <v/>
      </c>
    </row>
    <row r="24" spans="1:14" ht="37.5" customHeight="1" x14ac:dyDescent="0.25">
      <c r="A24" s="43" t="s">
        <v>51</v>
      </c>
      <c r="B24" s="30"/>
      <c r="C24" s="30"/>
      <c r="D24" s="30"/>
      <c r="E24" s="30"/>
      <c r="F24" s="30"/>
      <c r="G24" s="53" t="str">
        <f>IF($C$12="Ano","Nevyplňovat podle automatického výpočtu; použít individuálně stanovené datum.",IF(N11,N31,""))</f>
        <v/>
      </c>
      <c r="H24" s="32"/>
      <c r="I24" s="32"/>
      <c r="J24" s="33"/>
      <c r="M24" t="s">
        <v>52</v>
      </c>
      <c r="N24" s="1" t="str">
        <f>IF(N11,EDATE(N13,IF(N14&lt;N20,Číselníky!$B$5,Číselníky!$B$4)),"")</f>
        <v/>
      </c>
    </row>
    <row r="25" spans="1:14" ht="31.5" customHeight="1" x14ac:dyDescent="0.25">
      <c r="A25" s="40" t="s">
        <v>53</v>
      </c>
      <c r="B25" s="30"/>
      <c r="C25" s="30"/>
      <c r="D25" s="30"/>
      <c r="E25" s="30"/>
      <c r="F25" s="30"/>
      <c r="G25" s="53" t="str">
        <f>IF($C$12="Ano","Individuální případ – automatický výpočet zastaven",IF(N11,N23,""))</f>
        <v/>
      </c>
      <c r="H25" s="32"/>
      <c r="I25" s="32"/>
      <c r="J25" s="33"/>
      <c r="M25" t="s">
        <v>54</v>
      </c>
      <c r="N25" s="1" t="str">
        <f>IF(N11,EDATE(N13,IF(N14&lt;N16,Číselníky!$B$5,Číselníky!$B$4)),"")</f>
        <v/>
      </c>
    </row>
    <row r="26" spans="1:14" ht="40.5" customHeight="1" x14ac:dyDescent="0.25">
      <c r="A26" s="40" t="s">
        <v>55</v>
      </c>
      <c r="B26" s="30"/>
      <c r="C26" s="30"/>
      <c r="D26" s="30"/>
      <c r="E26" s="30"/>
      <c r="F26" s="30"/>
      <c r="G26" s="53" t="str">
        <f>IF($C$12="Ano","TML nebo individuálně zkrácená platnost má přednost před standardní dobou platnosti.",IF(N11,N30,""))</f>
        <v/>
      </c>
      <c r="H26" s="32"/>
      <c r="I26" s="32"/>
      <c r="J26" s="33"/>
      <c r="M26" t="s">
        <v>56</v>
      </c>
      <c r="N26" s="1" t="str">
        <f>IF(N11,IF(N14&lt;N16,MIN(EDATE(N13,Číselníky!$B$7),N17),IF(N14&lt;N18,MIN(EDATE(N13,Číselníky!$B$6),N19),EDATE(N13,Číselníky!$B$5))),"")</f>
        <v/>
      </c>
    </row>
    <row r="27" spans="1:14" x14ac:dyDescent="0.25">
      <c r="M27" t="s">
        <v>57</v>
      </c>
      <c r="N27" s="1" t="str">
        <f>IF(N11,IF(N14&lt;N16,MIN(EDATE(N13,Číselníky!$B$7),N17),EDATE(N13,Číselníky!$B$6)),"")</f>
        <v/>
      </c>
    </row>
    <row r="28" spans="1:14" ht="24" customHeight="1" thickBot="1" x14ac:dyDescent="0.3">
      <c r="A28" s="56" t="s">
        <v>58</v>
      </c>
      <c r="B28" s="57"/>
      <c r="C28" s="57"/>
      <c r="D28" s="57"/>
      <c r="E28" s="57"/>
      <c r="F28" s="57"/>
      <c r="G28" s="57"/>
      <c r="H28" s="57"/>
      <c r="I28" s="57"/>
      <c r="J28" s="57"/>
      <c r="M28" t="s">
        <v>59</v>
      </c>
      <c r="N28" t="str">
        <f>IF(NOT(N11),"",IF($C$7="1. třída",IF(OR(AND($C$9&lt;N16,N14&gt;=N16),AND($C$9&lt;N20,N14&gt;=N20)),"POZOR: mezi vyšetřením a počátkem platnosti byla dosažena hranice 40/60 let; použito specifické pravidlo podle počátku platnosti.","Bez překročení rozhodné věkové hranice."),IF($C$7="2. třída",IF(OR(AND($C$9&lt;N16,N14&gt;=N16),AND($C$9&lt;N18,N14&gt;=N18)),"POZOR: mezi vyšetřením a počátkem platnosti byla dosažena hranice 40/50 let; použito specifické pravidlo podle počátku platnosti.","Bez překročení rozhodné věkové hranice."),IF($C$7="LAPL",IF(AND($C$9&lt;N16,N14&gt;=N16),"POZOR: mezi vyšetřením a počátkem platnosti byla dosažena hranice 40 let; použito specifické pravidlo podle počátku platnosti.","Bez překročení rozhodné věkové hranice."),""))))</f>
        <v/>
      </c>
    </row>
    <row r="29" spans="1:14" ht="12.75" customHeight="1" x14ac:dyDescent="0.25">
      <c r="A29" s="64" t="s">
        <v>60</v>
      </c>
      <c r="B29" s="30"/>
      <c r="C29" s="30"/>
      <c r="D29" s="30"/>
      <c r="E29" s="30"/>
      <c r="F29" s="30"/>
      <c r="G29" s="30"/>
      <c r="H29" s="30"/>
      <c r="I29" s="30"/>
      <c r="J29" s="30"/>
      <c r="M29" t="s">
        <v>61</v>
      </c>
      <c r="N29" t="str">
        <f>IF(AND(ISNUMBER($C$6),MONTH($C$6)=2,DAY($C$6)=29),"POZOR: narození 29. 2. – hraniční narozeniny a zákonný okamžik dosažení věku ověřte ručně.","")</f>
        <v/>
      </c>
    </row>
    <row r="30" spans="1:14" ht="14.25" customHeight="1" x14ac:dyDescent="0.25">
      <c r="A30" s="58" t="s">
        <v>62</v>
      </c>
      <c r="B30" s="30"/>
      <c r="C30" s="30"/>
      <c r="D30" s="30"/>
      <c r="E30" s="30"/>
      <c r="F30" s="30"/>
      <c r="G30" s="30"/>
      <c r="H30" s="30"/>
      <c r="I30" s="30"/>
      <c r="J30" s="30"/>
      <c r="M30" t="s">
        <v>63</v>
      </c>
      <c r="N30" t="str">
        <f>IF(NOT(N11),"",IF(N12,"Konec platnosti se počítá od data skončení platnosti předchozího OZZ; nová platnost začíná následující den.","Konec platnosti se počítá od dne ukončení lékařského vyšetření."))</f>
        <v/>
      </c>
    </row>
    <row r="31" spans="1:14" ht="10.5" customHeight="1" x14ac:dyDescent="0.25">
      <c r="A31" s="40" t="s">
        <v>64</v>
      </c>
      <c r="B31" s="30"/>
      <c r="C31" s="30"/>
      <c r="D31" s="30"/>
      <c r="E31" s="30"/>
      <c r="F31" s="30"/>
      <c r="G31" s="30"/>
      <c r="H31" s="30"/>
      <c r="I31" s="30"/>
      <c r="J31" s="30"/>
      <c r="M31" t="s">
        <v>65</v>
      </c>
      <c r="N31" t="str">
        <f>IF(NOT(N11),"",IF($C$7="1. třída","Vyplnit všechna 4 okénka pole XI.",IF($C$7="2. třída","Horní 2 okénka pole XI proškrtnout; vyplnit Class 2 a LAPL.","Horní 3 okénka pole XI proškrtnout; vyplnit pouze LAPL.")))</f>
        <v/>
      </c>
    </row>
    <row r="32" spans="1:14" ht="13.5" customHeight="1" x14ac:dyDescent="0.25">
      <c r="A32" s="40" t="s">
        <v>66</v>
      </c>
      <c r="B32" s="30"/>
      <c r="C32" s="30"/>
      <c r="D32" s="30"/>
      <c r="E32" s="30"/>
      <c r="F32" s="30"/>
      <c r="G32" s="30"/>
      <c r="H32" s="30"/>
      <c r="I32" s="30"/>
      <c r="J32" s="30"/>
      <c r="M32" t="s">
        <v>67</v>
      </c>
      <c r="N32" s="1" t="str">
        <f>IF(AND(N10,$C$8="Opakované vyšetření"),$C$10-Číselníky!$B$2,"")</f>
        <v/>
      </c>
    </row>
    <row r="34" spans="1:14" ht="24" customHeight="1" thickBot="1" x14ac:dyDescent="0.3">
      <c r="A34" s="54" t="s">
        <v>318</v>
      </c>
      <c r="B34" s="55"/>
      <c r="C34" s="55"/>
      <c r="D34" s="55"/>
      <c r="E34" s="55"/>
      <c r="F34" s="55"/>
      <c r="G34" s="55"/>
      <c r="H34" s="55"/>
      <c r="I34" s="55"/>
      <c r="J34" s="55"/>
      <c r="M34" t="s">
        <v>68</v>
      </c>
      <c r="N34" t="str">
        <f>IF(AND(ISNUMBER($C$6),ISNUMBER($C$37),$C$37&gt;=$C$6),DATEDIF($C$6,$C$37,"Y"),"")</f>
        <v/>
      </c>
    </row>
    <row r="35" spans="1:14" ht="32.1" customHeight="1" thickBot="1" x14ac:dyDescent="0.3">
      <c r="A35" s="46" t="s">
        <v>69</v>
      </c>
      <c r="B35" s="35"/>
      <c r="C35" s="47"/>
      <c r="D35" s="35"/>
      <c r="E35" s="35"/>
      <c r="F35" s="35"/>
      <c r="G35" s="35"/>
      <c r="H35" s="35"/>
      <c r="I35" s="35"/>
      <c r="J35" s="35"/>
      <c r="M35" t="s">
        <v>70</v>
      </c>
      <c r="N35" t="str">
        <f>IF(AND(ISNUMBER($C$6),ISNUMBER($C$38),$C$38&gt;=$C$6),DATEDIF($C$6,$C$38,"Y"),"")</f>
        <v/>
      </c>
    </row>
    <row r="36" spans="1:14" ht="26.1" customHeight="1" thickBot="1" x14ac:dyDescent="0.3">
      <c r="A36" s="37" t="s">
        <v>71</v>
      </c>
      <c r="B36" s="35"/>
      <c r="C36" s="26" t="s">
        <v>27</v>
      </c>
      <c r="D36" s="18"/>
      <c r="E36" s="18"/>
      <c r="F36" s="39" t="str">
        <f>IF($C$7="2. třída",IF($C$36="Ano","Audiogram Class 2 se počítá podle periodicity Class 1.","Audiogram Class 2 = N/A."),"Volba se použije pouze pro audiogram ve sloupci Class 2.")</f>
        <v>Volba se použije pouze pro audiogram ve sloupci Class 2.</v>
      </c>
      <c r="G36" s="35"/>
      <c r="H36" s="35"/>
      <c r="I36" s="35"/>
      <c r="J36" s="35"/>
      <c r="M36" t="s">
        <v>72</v>
      </c>
      <c r="N36" t="str">
        <f>IF(AND(ISNUMBER($C$6),ISNUMBER($C$39),$C$39&gt;=$C$6),DATEDIF($C$6,$C$39,"Y"),"")</f>
        <v/>
      </c>
    </row>
    <row r="37" spans="1:14" ht="26.1" customHeight="1" thickBot="1" x14ac:dyDescent="0.3">
      <c r="A37" s="37" t="s">
        <v>73</v>
      </c>
      <c r="B37" s="35"/>
      <c r="C37" s="27"/>
      <c r="D37" s="18"/>
      <c r="E37" s="18"/>
      <c r="F37" s="39">
        <f>N47</f>
        <v>0</v>
      </c>
      <c r="G37" s="35"/>
      <c r="H37" s="35"/>
      <c r="I37" s="35"/>
      <c r="J37" s="35"/>
      <c r="M37" t="s">
        <v>74</v>
      </c>
      <c r="N37" s="1" t="str">
        <f>IF(N34="","",IF(N34&lt;30,EDATE($C$37,60),IF(N34&lt;40,EDATE($C$37,24),IF(N34&lt;50,EDATE($C$37,12),IF($C$12="Ano","STANOVIT PODLE TML",IF(AND($C$7="1. třída",ISNUMBER(N24)),N24,"PŘI KAŽDÉM C1 VYŠ."))))))</f>
        <v/>
      </c>
    </row>
    <row r="38" spans="1:14" ht="26.1" customHeight="1" thickBot="1" x14ac:dyDescent="0.3">
      <c r="A38" s="37" t="s">
        <v>75</v>
      </c>
      <c r="B38" s="35"/>
      <c r="C38" s="27"/>
      <c r="D38" s="18"/>
      <c r="E38" s="18"/>
      <c r="F38" s="39" t="str">
        <f>N48</f>
        <v>ČEKÁ NA ZÁKLADNÍ VSTUPY</v>
      </c>
      <c r="G38" s="35"/>
      <c r="H38" s="35"/>
      <c r="I38" s="35"/>
      <c r="J38" s="35"/>
      <c r="M38" t="s">
        <v>76</v>
      </c>
      <c r="N38" s="1" t="str">
        <f>IF(N34="","",IF(N34&lt;40,N16,IF(N34&lt;50,N18,EDATE($C$37,24))))</f>
        <v/>
      </c>
    </row>
    <row r="39" spans="1:14" ht="26.1" customHeight="1" thickBot="1" x14ac:dyDescent="0.3">
      <c r="A39" s="37" t="s">
        <v>77</v>
      </c>
      <c r="B39" s="35"/>
      <c r="C39" s="27"/>
      <c r="D39" s="18"/>
      <c r="E39" s="18"/>
      <c r="F39" s="39" t="str">
        <f>N49</f>
        <v>ČEKÁ NA ZÁKLADNÍ VSTUPY</v>
      </c>
      <c r="G39" s="35"/>
      <c r="H39" s="35"/>
      <c r="I39" s="35"/>
      <c r="J39" s="35"/>
      <c r="M39" t="s">
        <v>78</v>
      </c>
      <c r="N39" s="1" t="str">
        <f>IF(N35="","",EDATE($C$38,IF(N35&lt;40,60,IF(N35&lt;60,24,12))))</f>
        <v/>
      </c>
    </row>
    <row r="40" spans="1:14" ht="33.950000000000003" customHeight="1" x14ac:dyDescent="0.25">
      <c r="A40" s="37" t="s">
        <v>79</v>
      </c>
      <c r="B40" s="35"/>
      <c r="C40" s="17" t="s">
        <v>80</v>
      </c>
      <c r="D40" s="18"/>
      <c r="E40" s="18"/>
      <c r="F40" s="39" t="str">
        <f>IF(AND($C$50="Ano",$C$7="1. třída",ISNUMBER(N21),N21&gt;=60),"Single-pilot HEMS 60+: Next C1 = Last + 12 měsíců.",IF($C$40="5 let – refrakční kategorie","Next C1 = Last + 60 měsíců.",IF($C$40="2 roky – refrakční kategorie / RXO","Next C1 = Last + 24 měsíců.",IF($C$40="Individuální datum – SIC/RXO/ÚCL","Použije se ruční datum z C41.","Bez pevné specialistické periodicity; Next C1 = N/A, další vyšetření dle klinické indikace."))))</f>
        <v>Bez pevné specialistické periodicity; Next C1 = N/A, další vyšetření dle klinické indikace.</v>
      </c>
      <c r="G40" s="35"/>
      <c r="H40" s="35"/>
      <c r="I40" s="35"/>
      <c r="J40" s="35"/>
      <c r="M40" t="s">
        <v>81</v>
      </c>
      <c r="N40" s="1" t="str">
        <f>IF(AND($C$50="Ano",$C$7="1. třída",ISNUMBER(N21),N21&gt;=60),IF(ISNUMBER($C$39),EDATE($C$39,12),"DOPLNIT LAST"),IF($C$40="5 let – refrakční kategorie",IF(ISNUMBER($C$39),EDATE($C$39,60),"DOPLNIT LAST"),IF($C$40="2 roky – refrakční kategorie / RXO",IF(ISNUMBER($C$39),EDATE($C$39,24),"DOPLNIT LAST"),IF($C$40="Individuální datum – SIC/RXO/ÚCL",IF(ISNUMBER($C$41),$C$41,"DOPLNIT RUČNĚ"),"N/A"))))</f>
        <v>N/A</v>
      </c>
    </row>
    <row r="41" spans="1:14" ht="26.1" customHeight="1" x14ac:dyDescent="0.25">
      <c r="A41" s="37" t="s">
        <v>82</v>
      </c>
      <c r="B41" s="35"/>
      <c r="C41" s="19"/>
      <c r="D41" s="18"/>
      <c r="E41" s="18"/>
      <c r="F41" s="39" t="str">
        <f>IF($C$40="Individuální datum – SIC/RXO/ÚCL","Povinný vstup pro individuální režim.","Volitelné; použije se pouze u individuálního režimu.")</f>
        <v>Volitelné; použije se pouze u individuálního režimu.</v>
      </c>
      <c r="G41" s="35"/>
      <c r="H41" s="35"/>
      <c r="I41" s="35"/>
      <c r="J41" s="35"/>
      <c r="M41" t="s">
        <v>83</v>
      </c>
      <c r="N41" s="1" t="str">
        <f>IF(ISNUMBER($C$42),$C$42,"N/A")</f>
        <v>N/A</v>
      </c>
    </row>
    <row r="42" spans="1:14" ht="26.1" customHeight="1" x14ac:dyDescent="0.25">
      <c r="A42" s="37" t="s">
        <v>84</v>
      </c>
      <c r="B42" s="35"/>
      <c r="C42" s="19"/>
      <c r="D42" s="18"/>
      <c r="E42" s="18"/>
      <c r="F42" s="39" t="s">
        <v>85</v>
      </c>
      <c r="G42" s="35"/>
      <c r="H42" s="35"/>
      <c r="I42" s="35"/>
      <c r="J42" s="35"/>
      <c r="M42" t="s">
        <v>86</v>
      </c>
      <c r="N42" s="1" t="str">
        <f>IF(ISNUMBER($C$43),$C$43,"N/A")</f>
        <v>N/A</v>
      </c>
    </row>
    <row r="43" spans="1:14" ht="26.1" customHeight="1" x14ac:dyDescent="0.25">
      <c r="A43" s="37" t="s">
        <v>87</v>
      </c>
      <c r="B43" s="35"/>
      <c r="C43" s="19"/>
      <c r="D43" s="18"/>
      <c r="E43" s="18"/>
      <c r="F43" s="39" t="s">
        <v>88</v>
      </c>
      <c r="G43" s="35"/>
      <c r="H43" s="35"/>
      <c r="I43" s="35"/>
      <c r="J43" s="35"/>
      <c r="M43" t="s">
        <v>89</v>
      </c>
      <c r="N43" t="b">
        <f>OR($C$7="1. třída",$C$7="2. třída")</f>
        <v>0</v>
      </c>
    </row>
    <row r="44" spans="1:14" ht="26.1" customHeight="1" x14ac:dyDescent="0.25">
      <c r="A44" s="37" t="s">
        <v>90</v>
      </c>
      <c r="B44" s="35"/>
      <c r="C44" s="17" t="s">
        <v>91</v>
      </c>
      <c r="D44" s="18"/>
      <c r="E44" s="18"/>
      <c r="F44" s="39" t="str">
        <f>N50</f>
        <v>ČEKÁ NA ZÁKLADNÍ VSTUPY</v>
      </c>
      <c r="G44" s="35"/>
      <c r="H44" s="35"/>
      <c r="I44" s="35"/>
      <c r="J44" s="35"/>
      <c r="M44" t="s">
        <v>92</v>
      </c>
      <c r="N44" t="b">
        <f>OR($C$7="1. třída",AND($C$7="2. třída",$C$36="Ano"))</f>
        <v>0</v>
      </c>
    </row>
    <row r="45" spans="1:14" ht="32.1" customHeight="1" x14ac:dyDescent="0.25">
      <c r="A45" s="37" t="s">
        <v>93</v>
      </c>
      <c r="B45" s="35"/>
      <c r="C45" s="17"/>
      <c r="D45" s="18"/>
      <c r="E45" s="18"/>
      <c r="F45" s="39" t="s">
        <v>94</v>
      </c>
      <c r="G45" s="35"/>
      <c r="H45" s="35"/>
      <c r="I45" s="35"/>
      <c r="J45" s="35"/>
      <c r="M45" t="s">
        <v>95</v>
      </c>
      <c r="N45" t="b">
        <f>OR($C$7="1. třída",ISNUMBER($C$39),ISNUMBER($C$41),ISNUMBER($C$42),ISNUMBER($C$43))</f>
        <v>0</v>
      </c>
    </row>
    <row r="46" spans="1:14" ht="26.1" customHeight="1" x14ac:dyDescent="0.25">
      <c r="A46" s="37" t="s">
        <v>96</v>
      </c>
      <c r="B46" s="35"/>
      <c r="C46" s="19"/>
      <c r="D46" s="18"/>
      <c r="E46" s="18"/>
      <c r="F46" s="39" t="str">
        <f>IF($C$44="Jiné / individuální",N50,"Řádek Other information se nevyplňuje.")</f>
        <v>Řádek Other information se nevyplňuje.</v>
      </c>
      <c r="G46" s="35"/>
      <c r="H46" s="35"/>
      <c r="I46" s="35"/>
      <c r="J46" s="35"/>
      <c r="M46" t="s">
        <v>97</v>
      </c>
      <c r="N46" t="b">
        <f>$C$44="Jiné / individuální"</f>
        <v>0</v>
      </c>
    </row>
    <row r="47" spans="1:14" ht="26.1" customHeight="1" x14ac:dyDescent="0.25">
      <c r="A47" s="37" t="s">
        <v>98</v>
      </c>
      <c r="B47" s="35"/>
      <c r="C47" s="19"/>
      <c r="D47" s="18"/>
      <c r="E47" s="18"/>
      <c r="F47" s="39" t="s">
        <v>99</v>
      </c>
      <c r="G47" s="35"/>
      <c r="H47" s="35"/>
      <c r="I47" s="35"/>
      <c r="J47" s="35"/>
      <c r="M47" t="s">
        <v>100</v>
      </c>
    </row>
    <row r="48" spans="1:14" ht="26.1" customHeight="1" x14ac:dyDescent="0.25">
      <c r="A48" s="37" t="s">
        <v>101</v>
      </c>
      <c r="B48" s="35"/>
      <c r="C48" s="19"/>
      <c r="D48" s="18"/>
      <c r="E48" s="18"/>
      <c r="F48" s="39" t="s">
        <v>99</v>
      </c>
      <c r="G48" s="35"/>
      <c r="H48" s="35"/>
      <c r="I48" s="35"/>
      <c r="J48" s="35"/>
      <c r="M48" t="s">
        <v>102</v>
      </c>
      <c r="N48" t="str">
        <f>IF(NOT(N10),"ČEKÁ NA ZÁKLADNÍ VSTUPY",IF(NOT(N44),"OK – audiogram se pro zvolenou třídu / IR-BIR standardně nevyplňuje.",IF($C$38="","DOPLNIT DATUM AUDIOGRAM LAST"&amp;IF($C$8="První vydání"," – při prvním C1 nebo prvním C2 s IR/BIR je vyžadován.","."),IF(NOT(ISNUMBER($C$38)),"CHYBA: Audiogram Last není platné datum.",IF($C$38&lt;$C$6,"CHYBA: Audiogram Last předchází datu narození.",IF($C$38&gt;$C$9,"CHYBA: Audiogram Last je po dni ukončení vyšetření.",IF(AND(ISNUMBER(N39),N39&lt;=$C$9,$C$38&lt;$C$9),"PROVÉST NYNÍ: termín audiogramu je dosažen; po provedení změňte Last.",IF($C$38=$C$9,"OK – audiogram je proveden v rámci tohoto vyšetření.","OK – Next je vypočten podle věku v den audiogramu."))))))))</f>
        <v>ČEKÁ NA ZÁKLADNÍ VSTUPY</v>
      </c>
    </row>
    <row r="49" spans="1:14" ht="26.1" customHeight="1" thickBot="1" x14ac:dyDescent="0.3">
      <c r="A49" s="37" t="s">
        <v>103</v>
      </c>
      <c r="B49" s="35"/>
      <c r="C49" s="28"/>
      <c r="D49" s="18"/>
      <c r="E49" s="18"/>
      <c r="F49" s="39" t="s">
        <v>99</v>
      </c>
      <c r="G49" s="35"/>
      <c r="H49" s="35"/>
      <c r="I49" s="35"/>
      <c r="J49" s="35"/>
      <c r="M49" t="s">
        <v>104</v>
      </c>
      <c r="N49" t="str">
        <f>IF(NOT(N10),"ČEKÁ NA ZÁKLADNÍ VSTUPY",IF($C$7="1. třída",IF(AND($C$8="První vydání",NOT(ISNUMBER($C$39))),"DOPLNIT OPHTHALMOLOGICAL LAST – při prvním vydání C1 je komplexní vyšetření povinné.",IF(AND($C$50="Ano",ISNUMBER(N21),N21&gt;=60,NOT(ISNUMBER($C$39))),"DOPLNIT OPHTHALMOLOGICAL LAST – single-pilot HEMS od 60 let vyžaduje komplexní oční vyšetření.",IF(AND(OR($C$40="5 let – refrakční kategorie",$C$40="2 roky – refrakční kategorie / RXO"),NOT(ISNUMBER($C$39))),"DOPLNIT OPHTHALMOLOGICAL LAST pro zvolený pevný interval.",IF(AND($C$40="Individuální datum – SIC/RXO/ÚCL",NOT(ISNUMBER($C$41)),NOT(AND($C$50="Ano",ISNUMBER(N21),N21&gt;=60))),"DOPLNIT RUČNÍ NEXT CLASS 1.",IF(AND(ISNUMBER($C$39),$C$39&gt;$C$9),"CHYBA: Ophthalmological Last je po dni ukončení vyšetření.",IF(AND(ISNUMBER($C$41),ISNUMBER($C$39),$C$41&lt;$C$39,NOT(AND($C$50="Ano",ISNUMBER(N21),N21&gt;=60))),"CHYBA: ruční Next C1 předchází Last.",IF(AND(ISNUMBER(N40),N40&lt;=$C$9,ISNUMBER($C$39),$C$39&lt;$C$9),"PROVÉST NYNÍ: dosažen termín specialistického očního vyšetření C1.",IF(AND($C$50="Ano",ISNUMBER(N21),N21&gt;=60),"OK – single-pilot HEMS 60+: zkontrolujte Last a roční Next C1.",IF($C$40="Bez pevného intervalu / klinická indikace","OK – Next C1 = N/A; běžná kontrola zraku zůstává součástí každého vyšetření.","OK – zkontrolujte Last a Next C1."))))))))),IF(AND(OR(ISNUMBER($C$42),ISNUMBER($C$43)),NOT(ISNUMBER($C$39))),"DOPLNIT OPHTHALMOLOGICAL LAST k ručně stanovenému termínu.",IF(AND(ISNUMBER($C$42),ISNUMBER($C$39),$C$42&lt;$C$39),"CHYBA: ruční Next C2 předchází Last.",IF(AND(ISNUMBER($C$43),ISNUMBER($C$39),$C$43&lt;$C$39),"CHYBA: ruční Next LAPL předchází Last.","OK – pro C2/LAPL pouze klinická indikace nebo ručně stanovený termín.")))))</f>
        <v>ČEKÁ NA ZÁKLADNÍ VSTUPY</v>
      </c>
    </row>
    <row r="50" spans="1:14" ht="33.950000000000003" customHeight="1" thickBot="1" x14ac:dyDescent="0.3">
      <c r="A50" s="50" t="s">
        <v>105</v>
      </c>
      <c r="B50" s="35"/>
      <c r="C50" s="26" t="s">
        <v>27</v>
      </c>
      <c r="D50" s="18"/>
      <c r="E50" s="18"/>
      <c r="F50" s="68" t="str">
        <f>IF($C$7&lt;&gt;"1. třída","Volba se nepoužije.",IF($C$50="Ano",IF(AND(ISNUMBER(N21),N21&gt;=60),"Single-pilot HEMS 60+: komplexní oční vyšetření se opakuje každý rok.","HEMS je zvoleno; zvláštní roční periodicita se uplatní od prvního prodloužení nebo obnovy po 60. roce."),"Bez zvláštní periodicity HEMS."))</f>
        <v>Volba se nepoužije.</v>
      </c>
      <c r="G50" s="35"/>
      <c r="H50" s="35"/>
      <c r="I50" s="35"/>
      <c r="J50" s="35"/>
      <c r="M50" t="s">
        <v>106</v>
      </c>
      <c r="N50" t="str">
        <f>IF(NOT(N10),"ČEKÁ NA ZÁKLADNÍ VSTUPY",IF($C$44="Nevyplňuje se","OK – řádek Other information se nevyplňuje.",IF($C$45="","DOPLNIT NÁZEV / STRUČNÝ ÚDAJ pro Other information.",IF(NOT(ISNUMBER($C$46)),"DOPLNIT PLATNÉ DATUM LAST pro Other information.",IF($C$46&gt;$C$9,"CHYBA: Other information Last je po dni ukončení vyšetření.",IF(OR(AND(ISNUMBER($C$47),$C$47&lt;$C$46),AND(ISNUMBER($C$48),$C$48&lt;$C$46),AND(ISNUMBER($C$49),$C$49&lt;$C$46)),"CHYBA: některé ruční Next předchází Last.","OVĚŘIT RUČNĚ – obecné Other information nemá jednotnou automatickou periodicitu."))))))</f>
        <v>ČEKÁ NA ZÁKLADNÍ VSTUPY</v>
      </c>
    </row>
    <row r="51" spans="1:14" ht="24" customHeight="1" thickBot="1" x14ac:dyDescent="0.3">
      <c r="A51" s="54" t="s">
        <v>107</v>
      </c>
      <c r="B51" s="55"/>
      <c r="C51" s="62"/>
      <c r="D51" s="55"/>
      <c r="E51" s="55"/>
      <c r="F51" s="55"/>
      <c r="G51" s="55"/>
      <c r="H51" s="55"/>
      <c r="I51" s="55"/>
      <c r="J51" s="55"/>
      <c r="M51" t="s">
        <v>108</v>
      </c>
      <c r="N51" t="str">
        <f>IF(NOT(N10),"ČEKÁ NA ZÁKLADNÍ VSTUPY",IF(OR(COUNTIF(N47:N50,"*CHYBA*")&gt;0,COUNTIF(N47:N50,"*DOPLNIT*")&gt;0,COUNTIF(N47:N50,"*PROVÉST*")&gt;0),"POZOR – doplňková tabulka ještě není připravena; projděte červená upozornění.",IF(COUNTIF(N47:N50,"*OVĚŘIT*")&gt;0,"TABULKA VYŽADUJE RUČNÍ OVĚŘENÍ ORANŽOVÉHO ÚDAJE.","DOPLŇKOVÁ TABULKA JE PŘIPRAVENA K PŘEPISU.")))</f>
        <v>ČEKÁ NA ZÁKLADNÍ VSTUPY</v>
      </c>
    </row>
    <row r="52" spans="1:14" ht="42" customHeight="1" x14ac:dyDescent="0.25">
      <c r="A52" s="38" t="s">
        <v>109</v>
      </c>
      <c r="B52" s="33"/>
      <c r="C52" s="38" t="s">
        <v>110</v>
      </c>
      <c r="D52" s="33"/>
      <c r="E52" s="38" t="s">
        <v>111</v>
      </c>
      <c r="F52" s="33"/>
      <c r="G52" s="38" t="s">
        <v>112</v>
      </c>
      <c r="H52" s="33"/>
      <c r="I52" s="38" t="s">
        <v>113</v>
      </c>
      <c r="J52" s="33"/>
    </row>
    <row r="53" spans="1:14" ht="38.1" customHeight="1" x14ac:dyDescent="0.25">
      <c r="A53" s="61" t="s">
        <v>114</v>
      </c>
      <c r="B53" s="33"/>
      <c r="C53" s="36" t="str">
        <f>IF(NOT(N10),"",IF($C$7="LAPL","N/A",IF(ISNUMBER($C$37),$C$37,"DOPLNIT LAST")))</f>
        <v/>
      </c>
      <c r="D53" s="33"/>
      <c r="E53" s="36" t="str">
        <f>IF(NOT(N10),"",IF($C$7&lt;&gt;"1. třída","PROŠKRTNOUT",IF(ISNUMBER($C$37),N37,"DOPLNIT LAST")))</f>
        <v/>
      </c>
      <c r="F53" s="33"/>
      <c r="G53" s="36" t="str">
        <f>IF(NOT(N10),"",IF($C$7="LAPL","PROŠKRTNOUT",IF(ISNUMBER($C$37),N38,"DOPLNIT LAST")))</f>
        <v/>
      </c>
      <c r="H53" s="33"/>
      <c r="I53" s="36" t="str">
        <f>IF(NOT(N10),"","N/A")</f>
        <v/>
      </c>
      <c r="J53" s="33"/>
    </row>
    <row r="54" spans="1:14" ht="38.1" customHeight="1" x14ac:dyDescent="0.25">
      <c r="A54" s="61" t="s">
        <v>115</v>
      </c>
      <c r="B54" s="33"/>
      <c r="C54" s="36" t="str">
        <f>IF(NOT(N10),"",IF(N44,IF(ISNUMBER($C$38),$C$38,"DOPLNIT LAST"),"N/A"))</f>
        <v/>
      </c>
      <c r="D54" s="33"/>
      <c r="E54" s="36" t="str">
        <f>IF(NOT(N10),"",IF($C$7&lt;&gt;"1. třída","PROŠKRTNOUT",IF(ISNUMBER($C$38),N39,"DOPLNIT LAST")))</f>
        <v/>
      </c>
      <c r="F54" s="33"/>
      <c r="G54" s="36" t="str">
        <f>IF(NOT(N10),"",IF($C$7="LAPL","PROŠKRTNOUT",IF($C$36&lt;&gt;"Ano","N/A",IF(ISNUMBER($C$38),N39,"DOPLNIT LAST"))))</f>
        <v/>
      </c>
      <c r="H54" s="33"/>
      <c r="I54" s="36" t="str">
        <f>IF(NOT(N10),"","NEVYPLŇOVAT")</f>
        <v/>
      </c>
      <c r="J54" s="33"/>
    </row>
    <row r="55" spans="1:14" ht="38.1" customHeight="1" x14ac:dyDescent="0.25">
      <c r="A55" s="61" t="s">
        <v>116</v>
      </c>
      <c r="B55" s="33"/>
      <c r="C55" s="36" t="str">
        <f>IF(NOT(N10),"",IF(ISNUMBER($C$39),$C$39,IF($C$7="1. třída","DOPLNIT LAST","N/A")))</f>
        <v/>
      </c>
      <c r="D55" s="33"/>
      <c r="E55" s="36" t="str">
        <f>IF(NOT(N10),"",IF($C$7&lt;&gt;"1. třída","PROŠKRTNOUT",N40))</f>
        <v/>
      </c>
      <c r="F55" s="33"/>
      <c r="G55" s="36" t="str">
        <f>IF(NOT(N10),"",IF($C$7="LAPL","PROŠKRTNOUT",N41))</f>
        <v/>
      </c>
      <c r="H55" s="33"/>
      <c r="I55" s="36" t="str">
        <f>IF(NOT(N10),"",N42)</f>
        <v/>
      </c>
      <c r="J55" s="33"/>
    </row>
    <row r="56" spans="1:14" ht="38.1" customHeight="1" x14ac:dyDescent="0.25">
      <c r="A56" s="61" t="str">
        <f>IF($C$44="Jiné / individuální",IF($C$45="","Other information","Other information: "&amp;$C$45),"Other information")</f>
        <v>Other information</v>
      </c>
      <c r="B56" s="33"/>
      <c r="C56" s="36" t="str">
        <f>IF(NOT(N10),"",IF($C$44="Nevyplňuje se","NEVYPLŇOVAT",IF(ISNUMBER($C$46),$C$46,"DOPLNIT LAST")))</f>
        <v/>
      </c>
      <c r="D56" s="33"/>
      <c r="E56" s="36" t="str">
        <f>IF(NOT(N10),"",IF($C$44="Nevyplňuje se","NEVYPLŇOVAT",IF($C$7&lt;&gt;"1. třída","PROŠKRTNOUT",IF(ISNUMBER($C$47),$C$47,"N/A"))))</f>
        <v/>
      </c>
      <c r="F56" s="33"/>
      <c r="G56" s="36" t="str">
        <f>IF(NOT(N10),"",IF($C$44="Nevyplňuje se","NEVYPLŇOVAT",IF($C$7="LAPL","PROŠKRTNOUT",IF(ISNUMBER($C$48),$C$48,"N/A"))))</f>
        <v/>
      </c>
      <c r="H56" s="33"/>
      <c r="I56" s="36" t="str">
        <f>IF(NOT(N10),"",IF($C$44="Nevyplňuje se","NEVYPLŇOVAT",IF(ISNUMBER($C$49),$C$49,"N/A")))</f>
        <v/>
      </c>
      <c r="J56" s="33"/>
    </row>
    <row r="57" spans="1:14" ht="6.75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4" ht="14.25" customHeight="1" x14ac:dyDescent="0.25">
      <c r="A58" s="59" t="s">
        <v>117</v>
      </c>
      <c r="B58" s="35"/>
      <c r="C58" s="35"/>
      <c r="D58" s="35"/>
      <c r="E58" s="35"/>
      <c r="F58" s="35"/>
      <c r="G58" s="35"/>
      <c r="H58" s="35"/>
      <c r="I58" s="35"/>
      <c r="J58" s="35"/>
    </row>
    <row r="59" spans="1:14" ht="25.5" customHeight="1" x14ac:dyDescent="0.25">
      <c r="A59" s="59" t="s">
        <v>319</v>
      </c>
      <c r="B59" s="35"/>
      <c r="C59" s="35"/>
      <c r="D59" s="35"/>
      <c r="E59" s="35"/>
      <c r="F59" s="35"/>
      <c r="G59" s="35"/>
      <c r="H59" s="35"/>
      <c r="I59" s="35"/>
      <c r="J59" s="35"/>
    </row>
    <row r="60" spans="1:14" ht="15.75" customHeight="1" x14ac:dyDescent="0.25">
      <c r="A60" s="60" t="s">
        <v>118</v>
      </c>
      <c r="B60" s="35"/>
      <c r="C60" s="35"/>
      <c r="D60" s="35"/>
      <c r="E60" s="35"/>
      <c r="F60" s="35"/>
      <c r="G60" s="35"/>
      <c r="H60" s="35"/>
      <c r="I60" s="35"/>
      <c r="J60" s="35"/>
    </row>
    <row r="61" spans="1:14" ht="22.5" customHeight="1" x14ac:dyDescent="0.25">
      <c r="A61" s="63" t="s">
        <v>119</v>
      </c>
      <c r="B61" s="35"/>
      <c r="C61" s="35"/>
      <c r="D61" s="35"/>
      <c r="E61" s="35"/>
      <c r="F61" s="35"/>
      <c r="G61" s="35"/>
      <c r="H61" s="35"/>
      <c r="I61" s="35"/>
      <c r="J61" s="35"/>
    </row>
    <row r="62" spans="1:14" ht="24" customHeight="1" x14ac:dyDescent="0.25">
      <c r="A62" s="54" t="s">
        <v>120</v>
      </c>
      <c r="B62" s="55"/>
      <c r="C62" s="55"/>
      <c r="D62" s="55"/>
      <c r="E62" s="55"/>
      <c r="F62" s="55"/>
      <c r="G62" s="55"/>
      <c r="H62" s="55"/>
      <c r="I62" s="55"/>
      <c r="J62" s="55"/>
    </row>
    <row r="63" spans="1:14" ht="27.95" customHeight="1" x14ac:dyDescent="0.25">
      <c r="A63" s="52" t="s">
        <v>121</v>
      </c>
      <c r="B63" s="35"/>
      <c r="C63" s="67" t="str">
        <f>N51</f>
        <v>ČEKÁ NA ZÁKLADNÍ VSTUPY</v>
      </c>
      <c r="D63" s="35"/>
      <c r="E63" s="35"/>
      <c r="F63" s="35"/>
      <c r="G63" s="35"/>
      <c r="H63" s="35"/>
      <c r="I63" s="35"/>
      <c r="J63" s="35"/>
    </row>
    <row r="64" spans="1:14" ht="33.950000000000003" customHeight="1" x14ac:dyDescent="0.25">
      <c r="A64" s="45" t="s">
        <v>114</v>
      </c>
      <c r="B64" s="35"/>
      <c r="C64" s="39">
        <f>N47</f>
        <v>0</v>
      </c>
      <c r="D64" s="35"/>
      <c r="E64" s="35"/>
      <c r="F64" s="35"/>
      <c r="G64" s="35"/>
      <c r="H64" s="35"/>
      <c r="I64" s="35"/>
      <c r="J64" s="35"/>
    </row>
    <row r="65" spans="1:10" ht="33.950000000000003" customHeight="1" x14ac:dyDescent="0.25">
      <c r="A65" s="45" t="s">
        <v>122</v>
      </c>
      <c r="B65" s="35"/>
      <c r="C65" s="39" t="str">
        <f>N48</f>
        <v>ČEKÁ NA ZÁKLADNÍ VSTUPY</v>
      </c>
      <c r="D65" s="35"/>
      <c r="E65" s="35"/>
      <c r="F65" s="35"/>
      <c r="G65" s="35"/>
      <c r="H65" s="35"/>
      <c r="I65" s="35"/>
      <c r="J65" s="35"/>
    </row>
    <row r="66" spans="1:10" ht="33.950000000000003" customHeight="1" x14ac:dyDescent="0.25">
      <c r="A66" s="45" t="s">
        <v>116</v>
      </c>
      <c r="B66" s="35"/>
      <c r="C66" s="39" t="str">
        <f>N49</f>
        <v>ČEKÁ NA ZÁKLADNÍ VSTUPY</v>
      </c>
      <c r="D66" s="35"/>
      <c r="E66" s="35"/>
      <c r="F66" s="35"/>
      <c r="G66" s="35"/>
      <c r="H66" s="35"/>
      <c r="I66" s="35"/>
      <c r="J66" s="35"/>
    </row>
    <row r="67" spans="1:10" ht="33.950000000000003" customHeight="1" x14ac:dyDescent="0.25">
      <c r="A67" s="45" t="s">
        <v>123</v>
      </c>
      <c r="B67" s="35"/>
      <c r="C67" s="39" t="str">
        <f>N50</f>
        <v>ČEKÁ NA ZÁKLADNÍ VSTUPY</v>
      </c>
      <c r="D67" s="35"/>
      <c r="E67" s="35"/>
      <c r="F67" s="35"/>
      <c r="G67" s="35"/>
      <c r="H67" s="35"/>
      <c r="I67" s="35"/>
      <c r="J67" s="35"/>
    </row>
  </sheetData>
  <mergeCells count="128">
    <mergeCell ref="F13:G13"/>
    <mergeCell ref="I52:J52"/>
    <mergeCell ref="A53:B53"/>
    <mergeCell ref="A24:F24"/>
    <mergeCell ref="G18:J18"/>
    <mergeCell ref="F39:J39"/>
    <mergeCell ref="F48:J48"/>
    <mergeCell ref="A31:J31"/>
    <mergeCell ref="A16:J16"/>
    <mergeCell ref="A37:B37"/>
    <mergeCell ref="A46:B46"/>
    <mergeCell ref="G21:J21"/>
    <mergeCell ref="A22:F22"/>
    <mergeCell ref="F41:J41"/>
    <mergeCell ref="F50:J50"/>
    <mergeCell ref="A8:B8"/>
    <mergeCell ref="F9:G9"/>
    <mergeCell ref="A12:B12"/>
    <mergeCell ref="F8:G8"/>
    <mergeCell ref="H8:J8"/>
    <mergeCell ref="A5:D5"/>
    <mergeCell ref="A58:J58"/>
    <mergeCell ref="A64:B64"/>
    <mergeCell ref="H11:J11"/>
    <mergeCell ref="A54:B54"/>
    <mergeCell ref="A7:B7"/>
    <mergeCell ref="C54:D54"/>
    <mergeCell ref="A41:B41"/>
    <mergeCell ref="F5:J5"/>
    <mergeCell ref="A34:J34"/>
    <mergeCell ref="F36:J36"/>
    <mergeCell ref="F45:J45"/>
    <mergeCell ref="A56:B56"/>
    <mergeCell ref="A20:F20"/>
    <mergeCell ref="C56:D56"/>
    <mergeCell ref="F47:J47"/>
    <mergeCell ref="A42:B42"/>
    <mergeCell ref="F46:J46"/>
    <mergeCell ref="C63:J63"/>
    <mergeCell ref="I56:J56"/>
    <mergeCell ref="A60:J60"/>
    <mergeCell ref="G23:J23"/>
    <mergeCell ref="A52:B52"/>
    <mergeCell ref="A55:B55"/>
    <mergeCell ref="A51:J51"/>
    <mergeCell ref="A61:J61"/>
    <mergeCell ref="F38:J38"/>
    <mergeCell ref="A38:B38"/>
    <mergeCell ref="E53:F53"/>
    <mergeCell ref="A39:B39"/>
    <mergeCell ref="A48:B48"/>
    <mergeCell ref="A32:J32"/>
    <mergeCell ref="E55:F55"/>
    <mergeCell ref="A45:B45"/>
    <mergeCell ref="A29:J29"/>
    <mergeCell ref="I54:J54"/>
    <mergeCell ref="C66:J66"/>
    <mergeCell ref="H9:J9"/>
    <mergeCell ref="F14:G14"/>
    <mergeCell ref="A40:B40"/>
    <mergeCell ref="C67:J67"/>
    <mergeCell ref="A63:B63"/>
    <mergeCell ref="A10:B10"/>
    <mergeCell ref="G24:J24"/>
    <mergeCell ref="F49:J49"/>
    <mergeCell ref="C53:D53"/>
    <mergeCell ref="G26:J26"/>
    <mergeCell ref="A49:B49"/>
    <mergeCell ref="A62:J62"/>
    <mergeCell ref="A36:B36"/>
    <mergeCell ref="E52:F52"/>
    <mergeCell ref="G25:J25"/>
    <mergeCell ref="A26:F26"/>
    <mergeCell ref="A28:J28"/>
    <mergeCell ref="F40:J40"/>
    <mergeCell ref="C64:J64"/>
    <mergeCell ref="A65:B65"/>
    <mergeCell ref="H13:J13"/>
    <mergeCell ref="A30:J30"/>
    <mergeCell ref="A59:J59"/>
    <mergeCell ref="A67:B67"/>
    <mergeCell ref="E56:F56"/>
    <mergeCell ref="G56:H56"/>
    <mergeCell ref="F44:J44"/>
    <mergeCell ref="F11:G11"/>
    <mergeCell ref="G52:H52"/>
    <mergeCell ref="A35:J35"/>
    <mergeCell ref="A21:F21"/>
    <mergeCell ref="A6:B6"/>
    <mergeCell ref="A19:J19"/>
    <mergeCell ref="F12:G12"/>
    <mergeCell ref="C65:J65"/>
    <mergeCell ref="A23:F23"/>
    <mergeCell ref="C55:D55"/>
    <mergeCell ref="F42:J42"/>
    <mergeCell ref="G53:H53"/>
    <mergeCell ref="A66:B66"/>
    <mergeCell ref="H12:J12"/>
    <mergeCell ref="I53:J53"/>
    <mergeCell ref="A50:B50"/>
    <mergeCell ref="H10:J10"/>
    <mergeCell ref="F37:J37"/>
    <mergeCell ref="E54:F54"/>
    <mergeCell ref="A43:B43"/>
    <mergeCell ref="A1:J1"/>
    <mergeCell ref="G17:J17"/>
    <mergeCell ref="H14:J14"/>
    <mergeCell ref="I55:J55"/>
    <mergeCell ref="A47:B47"/>
    <mergeCell ref="C52:D52"/>
    <mergeCell ref="G55:H55"/>
    <mergeCell ref="F43:J43"/>
    <mergeCell ref="A44:B44"/>
    <mergeCell ref="A25:F25"/>
    <mergeCell ref="G54:H54"/>
    <mergeCell ref="A2:J2"/>
    <mergeCell ref="H6:J6"/>
    <mergeCell ref="F7:G7"/>
    <mergeCell ref="A17:F17"/>
    <mergeCell ref="A3:J3"/>
    <mergeCell ref="A9:B9"/>
    <mergeCell ref="F10:G10"/>
    <mergeCell ref="A11:B11"/>
    <mergeCell ref="G20:J20"/>
    <mergeCell ref="F6:G6"/>
    <mergeCell ref="A18:F18"/>
    <mergeCell ref="H7:J7"/>
    <mergeCell ref="G22:J22"/>
  </mergeCells>
  <conditionalFormatting sqref="C10:D10">
    <cfRule type="expression" dxfId="21" priority="5">
      <formula>$C$8="První vydání"</formula>
    </cfRule>
  </conditionalFormatting>
  <conditionalFormatting sqref="C63:J67">
    <cfRule type="expression" dxfId="20" priority="17">
      <formula>OR(ISNUMBER(SEARCH("CHYBA",C63)),ISNUMBER(SEARCH("DOPLNIT",C63)),ISNUMBER(SEARCH("PROVÉST",C63)))</formula>
    </cfRule>
    <cfRule type="expression" dxfId="19" priority="18">
      <formula>OR(ISNUMBER(SEARCH("POZOR",C63)),ISNUMBER(SEARCH("OVĚŘIT",C63)),ISNUMBER(SEARCH("RUČNÍ",C63)))</formula>
    </cfRule>
    <cfRule type="expression" dxfId="18" priority="19">
      <formula>OR(ISNUMBER(SEARCH("OK",C63)),ISNUMBER(SEARCH("PŘIPRAVENA",C63)),ISNUMBER(SEARCH("PŘIPRAVEN",C63)))</formula>
    </cfRule>
  </conditionalFormatting>
  <conditionalFormatting sqref="F36:J49">
    <cfRule type="expression" dxfId="17" priority="16">
      <formula>OR(ISNUMBER(SEARCH("OK",F36)),ISNUMBER(SEARCH("PŘIPRAVENA",F36)),ISNUMBER(SEARCH("PŘIPRAVEN",F36)))</formula>
    </cfRule>
  </conditionalFormatting>
  <conditionalFormatting sqref="F36:J50">
    <cfRule type="expression" dxfId="16" priority="14">
      <formula>OR(ISNUMBER(SEARCH("CHYBA",F36)),ISNUMBER(SEARCH("DOPLNIT",F36)),ISNUMBER(SEARCH("PROVÉST",F36)))</formula>
    </cfRule>
    <cfRule type="expression" dxfId="15" priority="15">
      <formula>OR(ISNUMBER(SEARCH("POZOR",F36)),ISNUMBER(SEARCH("OVĚŘIT",F36)),ISNUMBER(SEARCH("RUČNÍ",F36)))</formula>
    </cfRule>
  </conditionalFormatting>
  <conditionalFormatting sqref="F50:J50">
    <cfRule type="expression" dxfId="14" priority="22">
      <formula>OR(ISNUMBER(SEARCH("OK",F50)),ISNUMBER(SEARCH("HEMS",F50)))</formula>
    </cfRule>
  </conditionalFormatting>
  <conditionalFormatting sqref="G20:J20">
    <cfRule type="expression" dxfId="13" priority="6">
      <formula>$G$20="PROŠKRTNOUT"</formula>
    </cfRule>
    <cfRule type="expression" dxfId="12" priority="7">
      <formula>$G$20="STANOVIT RUČNĚ"</formula>
    </cfRule>
  </conditionalFormatting>
  <conditionalFormatting sqref="G21:J21">
    <cfRule type="expression" dxfId="11" priority="8">
      <formula>$G$21="PROŠKRTNOUT"</formula>
    </cfRule>
    <cfRule type="expression" dxfId="10" priority="9">
      <formula>$G$21="STANOVIT RUČNĚ"</formula>
    </cfRule>
  </conditionalFormatting>
  <conditionalFormatting sqref="G22:J22">
    <cfRule type="expression" dxfId="9" priority="10">
      <formula>$G$22="PROŠKRTNOUT"</formula>
    </cfRule>
    <cfRule type="expression" dxfId="8" priority="11">
      <formula>$G$22="STANOVIT RUČNĚ"</formula>
    </cfRule>
  </conditionalFormatting>
  <conditionalFormatting sqref="G23:J23">
    <cfRule type="expression" dxfId="7" priority="12">
      <formula>$G$23="PROŠKRTNOUT"</formula>
    </cfRule>
    <cfRule type="expression" dxfId="6" priority="13">
      <formula>$G$23="STANOVIT RUČNĚ"</formula>
    </cfRule>
  </conditionalFormatting>
  <conditionalFormatting sqref="H6:J6">
    <cfRule type="expression" dxfId="5" priority="1">
      <formula>$H$6="VSTUPY V POŘÁDKU"</formula>
    </cfRule>
    <cfRule type="expression" dxfId="4" priority="2">
      <formula>OR(ISNUMBER(SEARCH("CHYBA",$H$6)),ISNUMBER(SEARCH("NELZE",$H$6)))</formula>
    </cfRule>
    <cfRule type="expression" dxfId="3" priority="3">
      <formula>OR(ISNUMBER(SEARCH("DOPLŇTE",$H$6)),ISNUMBER(SEARCH("VYBERTE",$H$6)))</formula>
    </cfRule>
  </conditionalFormatting>
  <conditionalFormatting sqref="H13:J13">
    <cfRule type="expression" dxfId="2" priority="4">
      <formula>LEFT($H$13,5)="POZOR"</formula>
    </cfRule>
  </conditionalFormatting>
  <dataValidations count="2">
    <dataValidation type="date" allowBlank="1" sqref="C6 C9 C10 C11" xr:uid="{00000000-0002-0000-0000-000003000000}">
      <formula1>DATE(1900,1,1)</formula1>
      <formula2>DATE(2200,12,31)</formula2>
    </dataValidation>
    <dataValidation type="date" allowBlank="1" showInputMessage="1" showErrorMessage="1" errorTitle="Neplatné datum" error="Zadejte platné datum mezi 01/01/1900 a 31/12/2200." promptTitle="Datum ve formátu dd/mm/rrrr" prompt="Zadejte skutečné datum. Při provedení nyní použijte datum z C9." sqref="C37 C38 C39 C41 C42 C43 C46 C47 C48 C49" xr:uid="{00000000-0002-0000-0000-000007000000}">
      <formula1>DATE(1900,1,1)</formula1>
      <formula2>DATE(2200,12,31)</formula2>
    </dataValidation>
  </dataValidations>
  <pageMargins left="0.75" right="0.75" top="1" bottom="1" header="0.5" footer="0.5"/>
  <pageSetup paperSize="9" fitToHeight="0" orientation="landscape" r:id="rId1"/>
  <headerFooter>
    <oddFooter>&amp;CKalkulačka MC – pracovní pomůcka – v1.0&amp;RStrana &amp;P / &amp;N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Neplatná volba" error="Vyberte hodnotu ze seznamu." promptTitle="Výběr ze seznamu" prompt="Vyberte ze seznamu." xr:uid="{00000000-0002-0000-0000-000000000000}">
          <x14:formula1>
            <xm:f>Číselníky!$E$2:$E$4</xm:f>
          </x14:formula1>
          <xm:sqref>C7</xm:sqref>
        </x14:dataValidation>
        <x14:dataValidation type="list" allowBlank="1" showInputMessage="1" showErrorMessage="1" errorTitle="Neplatná volba" error="Vyberte hodnotu ze seznamu." promptTitle="Výběr ze seznamu" prompt="Vyberte ze seznamu." xr:uid="{00000000-0002-0000-0000-000001000000}">
          <x14:formula1>
            <xm:f>Číselníky!$F$2:$F$3</xm:f>
          </x14:formula1>
          <xm:sqref>C8</xm:sqref>
        </x14:dataValidation>
        <x14:dataValidation type="list" showInputMessage="1" showErrorMessage="1" errorTitle="Neplatná volba" error="Vyberte hodnotu ze seznamu." promptTitle="Výběr ze seznamu" prompt="Vyberte ze seznamu." xr:uid="{00000000-0002-0000-0000-000002000000}">
          <x14:formula1>
            <xm:f>Číselníky!$G$2:$G$3</xm:f>
          </x14:formula1>
          <xm:sqref>C12 C50 C36</xm:sqref>
        </x14:dataValidation>
        <x14:dataValidation type="list" showInputMessage="1" showErrorMessage="1" errorTitle="Neplatná volba" error="Vyberte hodnotu ze seznamu." promptTitle="Výběr ze seznamu" prompt="Vyberte ze seznamu." xr:uid="{00000000-0002-0000-0000-000005000000}">
          <x14:formula1>
            <xm:f>Číselníky!$H$2:$H$5</xm:f>
          </x14:formula1>
          <xm:sqref>C40</xm:sqref>
        </x14:dataValidation>
        <x14:dataValidation type="list" showInputMessage="1" showErrorMessage="1" errorTitle="Neplatná volba" error="Vyberte hodnotu ze seznamu." promptTitle="Výběr ze seznamu" prompt="Vyberte ze seznamu." xr:uid="{00000000-0002-0000-0000-000006000000}">
          <x14:formula1>
            <xm:f>Číselníky!$I$2:$I$3</xm:f>
          </x14:formula1>
          <xm:sqref>C44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9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28" customWidth="1"/>
    <col min="2" max="2" width="82" customWidth="1"/>
    <col min="3" max="3" width="46" customWidth="1"/>
  </cols>
  <sheetData>
    <row r="1" spans="1:3" ht="32.1" customHeight="1" x14ac:dyDescent="0.25">
      <c r="A1" s="70" t="s">
        <v>124</v>
      </c>
      <c r="B1" s="30"/>
      <c r="C1" s="30"/>
    </row>
    <row r="2" spans="1:3" ht="21.95" customHeight="1" x14ac:dyDescent="0.25">
      <c r="A2" s="41" t="s">
        <v>125</v>
      </c>
      <c r="B2" s="30"/>
      <c r="C2" s="30"/>
    </row>
    <row r="4" spans="1:3" ht="48" customHeight="1" x14ac:dyDescent="0.25">
      <c r="A4" s="73" t="s">
        <v>126</v>
      </c>
      <c r="B4" s="30"/>
      <c r="C4" s="30"/>
    </row>
    <row r="6" spans="1:3" ht="27.95" customHeight="1" x14ac:dyDescent="0.25">
      <c r="A6" s="2" t="s">
        <v>127</v>
      </c>
      <c r="B6" s="2" t="s">
        <v>128</v>
      </c>
      <c r="C6" s="2" t="s">
        <v>129</v>
      </c>
    </row>
    <row r="7" spans="1:3" ht="54.95" customHeight="1" x14ac:dyDescent="0.25">
      <c r="A7" s="3" t="s">
        <v>130</v>
      </c>
      <c r="B7" s="3" t="s">
        <v>131</v>
      </c>
      <c r="C7" s="4" t="s">
        <v>132</v>
      </c>
    </row>
    <row r="8" spans="1:3" ht="54.95" customHeight="1" x14ac:dyDescent="0.25">
      <c r="A8" s="5" t="s">
        <v>133</v>
      </c>
      <c r="B8" s="5" t="s">
        <v>134</v>
      </c>
      <c r="C8" s="6" t="s">
        <v>135</v>
      </c>
    </row>
    <row r="9" spans="1:3" ht="54.95" customHeight="1" x14ac:dyDescent="0.25">
      <c r="A9" s="3" t="s">
        <v>136</v>
      </c>
      <c r="B9" s="3" t="s">
        <v>137</v>
      </c>
      <c r="C9" s="4" t="s">
        <v>138</v>
      </c>
    </row>
    <row r="10" spans="1:3" ht="54.95" customHeight="1" x14ac:dyDescent="0.25">
      <c r="A10" s="5" t="s">
        <v>21</v>
      </c>
      <c r="B10" s="5" t="s">
        <v>139</v>
      </c>
      <c r="C10" s="6" t="s">
        <v>140</v>
      </c>
    </row>
    <row r="11" spans="1:3" ht="68.099999999999994" customHeight="1" x14ac:dyDescent="0.25">
      <c r="A11" s="3" t="s">
        <v>141</v>
      </c>
      <c r="B11" s="3" t="s">
        <v>142</v>
      </c>
      <c r="C11" s="4" t="s">
        <v>143</v>
      </c>
    </row>
    <row r="12" spans="1:3" ht="54.95" customHeight="1" x14ac:dyDescent="0.25">
      <c r="A12" s="5" t="s">
        <v>144</v>
      </c>
      <c r="B12" s="5" t="s">
        <v>145</v>
      </c>
      <c r="C12" s="6" t="s">
        <v>146</v>
      </c>
    </row>
    <row r="13" spans="1:3" ht="54.95" customHeight="1" x14ac:dyDescent="0.25">
      <c r="A13" s="3" t="s">
        <v>147</v>
      </c>
      <c r="B13" s="3" t="s">
        <v>148</v>
      </c>
      <c r="C13" s="4" t="s">
        <v>149</v>
      </c>
    </row>
    <row r="14" spans="1:3" ht="68.099999999999994" customHeight="1" x14ac:dyDescent="0.25">
      <c r="A14" s="5" t="s">
        <v>150</v>
      </c>
      <c r="B14" s="5" t="s">
        <v>151</v>
      </c>
      <c r="C14" s="6" t="s">
        <v>152</v>
      </c>
    </row>
    <row r="15" spans="1:3" ht="54.95" customHeight="1" x14ac:dyDescent="0.25">
      <c r="A15" s="3" t="s">
        <v>153</v>
      </c>
      <c r="B15" s="3" t="s">
        <v>154</v>
      </c>
      <c r="C15" s="4" t="s">
        <v>155</v>
      </c>
    </row>
    <row r="16" spans="1:3" ht="54.95" customHeight="1" x14ac:dyDescent="0.25">
      <c r="A16" s="5" t="s">
        <v>156</v>
      </c>
      <c r="B16" s="5" t="s">
        <v>157</v>
      </c>
      <c r="C16" s="6" t="s">
        <v>158</v>
      </c>
    </row>
    <row r="17" spans="1:3" ht="54.95" customHeight="1" x14ac:dyDescent="0.25">
      <c r="A17" s="3" t="s">
        <v>159</v>
      </c>
      <c r="B17" s="3" t="s">
        <v>160</v>
      </c>
      <c r="C17" s="4" t="s">
        <v>161</v>
      </c>
    </row>
    <row r="18" spans="1:3" ht="68.099999999999994" customHeight="1" x14ac:dyDescent="0.25">
      <c r="A18" s="5" t="s">
        <v>162</v>
      </c>
      <c r="B18" s="5" t="s">
        <v>163</v>
      </c>
      <c r="C18" s="6" t="s">
        <v>164</v>
      </c>
    </row>
    <row r="19" spans="1:3" ht="54.95" customHeight="1" x14ac:dyDescent="0.25">
      <c r="A19" s="3" t="s">
        <v>165</v>
      </c>
      <c r="B19" s="3" t="s">
        <v>166</v>
      </c>
      <c r="C19" s="4" t="s">
        <v>167</v>
      </c>
    </row>
    <row r="20" spans="1:3" ht="62.1" customHeight="1" x14ac:dyDescent="0.25">
      <c r="A20" s="3" t="s">
        <v>168</v>
      </c>
      <c r="B20" s="3" t="s">
        <v>169</v>
      </c>
      <c r="C20" s="4" t="s">
        <v>170</v>
      </c>
    </row>
    <row r="21" spans="1:3" ht="48" customHeight="1" x14ac:dyDescent="0.25">
      <c r="A21" s="3" t="s">
        <v>171</v>
      </c>
      <c r="B21" s="3" t="s">
        <v>172</v>
      </c>
      <c r="C21" s="4" t="s">
        <v>173</v>
      </c>
    </row>
    <row r="22" spans="1:3" ht="48" customHeight="1" x14ac:dyDescent="0.25">
      <c r="A22" s="3" t="s">
        <v>174</v>
      </c>
      <c r="B22" s="3" t="s">
        <v>320</v>
      </c>
      <c r="C22" s="4" t="s">
        <v>175</v>
      </c>
    </row>
    <row r="23" spans="1:3" ht="48" customHeight="1" x14ac:dyDescent="0.25">
      <c r="A23" s="3" t="s">
        <v>122</v>
      </c>
      <c r="B23" s="3" t="s">
        <v>176</v>
      </c>
      <c r="C23" s="4" t="s">
        <v>177</v>
      </c>
    </row>
    <row r="24" spans="1:3" ht="62.1" customHeight="1" x14ac:dyDescent="0.25">
      <c r="A24" s="3" t="s">
        <v>116</v>
      </c>
      <c r="B24" s="3" t="s">
        <v>178</v>
      </c>
      <c r="C24" s="4" t="s">
        <v>179</v>
      </c>
    </row>
    <row r="25" spans="1:3" ht="48" customHeight="1" x14ac:dyDescent="0.25">
      <c r="A25" s="3" t="s">
        <v>123</v>
      </c>
      <c r="B25" s="3" t="s">
        <v>180</v>
      </c>
      <c r="C25" s="4" t="s">
        <v>181</v>
      </c>
    </row>
    <row r="26" spans="1:3" ht="48" customHeight="1" x14ac:dyDescent="0.25">
      <c r="A26" s="3" t="s">
        <v>182</v>
      </c>
      <c r="B26" s="3" t="s">
        <v>183</v>
      </c>
      <c r="C26" s="4" t="s">
        <v>184</v>
      </c>
    </row>
    <row r="27" spans="1:3" ht="48" customHeight="1" x14ac:dyDescent="0.25"/>
    <row r="28" spans="1:3" ht="48" customHeight="1" x14ac:dyDescent="0.25">
      <c r="A28" s="69" t="s">
        <v>185</v>
      </c>
      <c r="B28" s="30"/>
      <c r="C28" s="30"/>
    </row>
    <row r="29" spans="1:3" ht="48" customHeight="1" x14ac:dyDescent="0.25">
      <c r="A29" s="7" t="s">
        <v>186</v>
      </c>
      <c r="B29" s="7" t="s">
        <v>187</v>
      </c>
      <c r="C29" s="7" t="s">
        <v>188</v>
      </c>
    </row>
    <row r="30" spans="1:3" ht="48" customHeight="1" x14ac:dyDescent="0.25">
      <c r="A30" s="3" t="s">
        <v>189</v>
      </c>
      <c r="B30" s="3" t="s">
        <v>190</v>
      </c>
      <c r="C30" s="8" t="s">
        <v>191</v>
      </c>
    </row>
    <row r="31" spans="1:3" ht="24" x14ac:dyDescent="0.25">
      <c r="A31" s="5" t="s">
        <v>192</v>
      </c>
      <c r="B31" s="5" t="s">
        <v>193</v>
      </c>
      <c r="C31" s="9" t="s">
        <v>194</v>
      </c>
    </row>
    <row r="32" spans="1:3" ht="38.1" customHeight="1" x14ac:dyDescent="0.25">
      <c r="A32" s="3" t="s">
        <v>195</v>
      </c>
      <c r="B32" s="3" t="s">
        <v>190</v>
      </c>
      <c r="C32" s="8" t="s">
        <v>196</v>
      </c>
    </row>
    <row r="33" spans="1:3" ht="36" x14ac:dyDescent="0.25">
      <c r="A33" s="5" t="s">
        <v>197</v>
      </c>
      <c r="B33" s="5" t="s">
        <v>198</v>
      </c>
      <c r="C33" s="9" t="s">
        <v>199</v>
      </c>
    </row>
    <row r="34" spans="1:3" ht="24" x14ac:dyDescent="0.25">
      <c r="A34" s="3" t="s">
        <v>200</v>
      </c>
      <c r="B34" s="3" t="s">
        <v>201</v>
      </c>
      <c r="C34" s="8" t="s">
        <v>202</v>
      </c>
    </row>
    <row r="35" spans="1:3" ht="24" x14ac:dyDescent="0.25">
      <c r="A35" s="5" t="s">
        <v>203</v>
      </c>
      <c r="B35" s="5" t="s">
        <v>204</v>
      </c>
      <c r="C35" s="5" t="s">
        <v>205</v>
      </c>
    </row>
    <row r="36" spans="1:3" ht="48" customHeight="1" x14ac:dyDescent="0.25">
      <c r="A36" s="5" t="s">
        <v>206</v>
      </c>
      <c r="B36" s="5" t="s">
        <v>207</v>
      </c>
      <c r="C36" s="5" t="s">
        <v>208</v>
      </c>
    </row>
    <row r="37" spans="1:3" ht="48" customHeight="1" x14ac:dyDescent="0.25">
      <c r="A37" s="5" t="s">
        <v>209</v>
      </c>
      <c r="B37" s="5" t="s">
        <v>210</v>
      </c>
      <c r="C37" s="5" t="s">
        <v>211</v>
      </c>
    </row>
    <row r="38" spans="1:3" ht="48" customHeight="1" x14ac:dyDescent="0.25">
      <c r="A38" s="5" t="s">
        <v>212</v>
      </c>
      <c r="B38" s="5" t="s">
        <v>213</v>
      </c>
      <c r="C38" s="5" t="s">
        <v>214</v>
      </c>
    </row>
    <row r="39" spans="1:3" ht="45.95" customHeight="1" x14ac:dyDescent="0.25">
      <c r="A39" s="71" t="s">
        <v>215</v>
      </c>
      <c r="B39" s="72"/>
      <c r="C39" s="72"/>
    </row>
  </sheetData>
  <mergeCells count="5">
    <mergeCell ref="A28:C28"/>
    <mergeCell ref="A1:C1"/>
    <mergeCell ref="A39:C39"/>
    <mergeCell ref="A4:C4"/>
    <mergeCell ref="A2:C2"/>
  </mergeCells>
  <pageMargins left="0.75" right="0.75" top="1" bottom="1" header="0.5" footer="0.5"/>
  <pageSetup paperSize="9" fitToHeight="2" orientation="landscape"/>
  <headerFooter>
    <oddFooter>&amp;CKalkulačka MC – pravidla a zdroje&amp;RStrana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20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7" customWidth="1"/>
    <col min="2" max="2" width="38" customWidth="1"/>
    <col min="3" max="3" width="14" customWidth="1"/>
    <col min="4" max="4" width="12" customWidth="1"/>
    <col min="5" max="5" width="20" customWidth="1"/>
    <col min="6" max="7" width="14" customWidth="1"/>
    <col min="8" max="8" width="35" customWidth="1"/>
    <col min="9" max="13" width="14" customWidth="1"/>
    <col min="14" max="14" width="35" customWidth="1"/>
    <col min="15" max="19" width="14" customWidth="1"/>
    <col min="20" max="20" width="10" customWidth="1"/>
    <col min="21" max="22" width="13" hidden="1" customWidth="1"/>
  </cols>
  <sheetData>
    <row r="1" spans="1:22" ht="32.1" customHeight="1" x14ac:dyDescent="0.25">
      <c r="A1" s="70" t="s">
        <v>216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2" ht="21.95" customHeight="1" x14ac:dyDescent="0.25">
      <c r="A2" s="74" t="s">
        <v>217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4" spans="1:22" ht="42" customHeight="1" x14ac:dyDescent="0.25">
      <c r="A4" s="10" t="s">
        <v>218</v>
      </c>
      <c r="B4" s="10" t="s">
        <v>219</v>
      </c>
      <c r="C4" s="10" t="s">
        <v>8</v>
      </c>
      <c r="D4" s="10" t="s">
        <v>220</v>
      </c>
      <c r="E4" s="10" t="s">
        <v>221</v>
      </c>
      <c r="F4" s="10" t="s">
        <v>222</v>
      </c>
      <c r="G4" s="10" t="s">
        <v>223</v>
      </c>
      <c r="H4" s="10" t="s">
        <v>224</v>
      </c>
      <c r="I4" s="10" t="s">
        <v>225</v>
      </c>
      <c r="J4" s="10" t="s">
        <v>226</v>
      </c>
      <c r="K4" s="10" t="s">
        <v>227</v>
      </c>
      <c r="L4" s="10" t="s">
        <v>228</v>
      </c>
      <c r="M4" s="10" t="s">
        <v>229</v>
      </c>
      <c r="N4" s="10" t="s">
        <v>230</v>
      </c>
      <c r="O4" s="10" t="s">
        <v>231</v>
      </c>
      <c r="P4" s="10" t="s">
        <v>232</v>
      </c>
      <c r="Q4" s="10" t="s">
        <v>233</v>
      </c>
      <c r="R4" s="10" t="s">
        <v>234</v>
      </c>
      <c r="S4" s="10" t="s">
        <v>235</v>
      </c>
      <c r="T4" s="10" t="s">
        <v>236</v>
      </c>
    </row>
    <row r="5" spans="1:22" ht="42" customHeight="1" x14ac:dyDescent="0.25">
      <c r="A5" s="11" t="s">
        <v>237</v>
      </c>
      <c r="B5" s="12" t="s">
        <v>238</v>
      </c>
      <c r="C5" s="13">
        <v>33003</v>
      </c>
      <c r="D5" s="11" t="s">
        <v>239</v>
      </c>
      <c r="E5" s="11" t="s">
        <v>240</v>
      </c>
      <c r="F5" s="13">
        <v>46267</v>
      </c>
      <c r="G5" s="13"/>
      <c r="H5" s="11" t="s">
        <v>240</v>
      </c>
      <c r="I5" s="13">
        <v>46267</v>
      </c>
      <c r="J5" s="13">
        <v>46632</v>
      </c>
      <c r="K5" s="13">
        <v>46632</v>
      </c>
      <c r="L5" s="13">
        <v>48093</v>
      </c>
      <c r="M5" s="13">
        <v>48093</v>
      </c>
      <c r="N5" s="11" t="str">
        <f t="shared" ref="N5:N20" si="0">IF($E5="První vydání","První vydání",IF($F5&gt;$G5,"Obnova po skončení platnosti",IF($U5,"Prodloužení v 45denním období","Opakované vyšetření mimo 45denní období – platnost od vyšetření")))</f>
        <v>První vydání</v>
      </c>
      <c r="O5" s="13">
        <f t="shared" ref="O5:O20" si="1">IF($U5,$G5+1,$F5)</f>
        <v>46267</v>
      </c>
      <c r="P5" s="13">
        <f>EDATE($V5,IF($O5&lt;EDATE($C5,Číselníky!$B$12*Číselníky!$B$3),Číselníky!$B$5,Číselníky!$B$4))</f>
        <v>46632</v>
      </c>
      <c r="Q5" s="13">
        <f>EDATE($V5,IF($O5&lt;EDATE($C5,Číselníky!$B$8*Číselníky!$B$3),Číselníky!$B$5,Číselníky!$B$4))</f>
        <v>46632</v>
      </c>
      <c r="R5" s="13">
        <f>IF($O5&lt;EDATE($C5,Číselníky!$B$8*Číselníky!$B$3),MIN(EDATE($V5,Číselníky!$B$7),EDATE($C5,Číselníky!$B$9*Číselníky!$B$3)),IF($O5&lt;EDATE($C5,Číselníky!$B$10*Číselníky!$B$3),MIN(EDATE($V5,Číselníky!$B$6),EDATE($C5,Číselníky!$B$11*Číselníky!$B$3)),EDATE($V5,Číselníky!$B$5)))</f>
        <v>48093</v>
      </c>
      <c r="S5" s="13">
        <f>IF($O5&lt;EDATE($C5,Číselníky!$B$8*Číselníky!$B$3),MIN(EDATE($V5,Číselníky!$B$7),EDATE($C5,Číselníky!$B$9*Číselníky!$B$3)),EDATE($V5,Číselníky!$B$6))</f>
        <v>48093</v>
      </c>
      <c r="T5" s="11" t="str">
        <f t="shared" ref="T5:T20" si="2">IF(AND($N5=$H5,$O5=$I5,$P5=$J5,$Q5=$K5,$R5=$L5,$S5=$M5),"PASS","CHECK")</f>
        <v>PASS</v>
      </c>
      <c r="U5" t="b">
        <f>AND($E5="Opakované vyšetření",$F5&gt;=$G5-Číselníky!$B$2,$F5&lt;=$G5)</f>
        <v>0</v>
      </c>
      <c r="V5" s="1">
        <f t="shared" ref="V5:V20" si="3">IF($U5,$G5,$F5)</f>
        <v>46267</v>
      </c>
    </row>
    <row r="6" spans="1:22" ht="42" customHeight="1" x14ac:dyDescent="0.25">
      <c r="A6" s="14" t="s">
        <v>241</v>
      </c>
      <c r="B6" s="15" t="s">
        <v>242</v>
      </c>
      <c r="C6" s="16">
        <v>29587</v>
      </c>
      <c r="D6" s="14" t="s">
        <v>239</v>
      </c>
      <c r="E6" s="14" t="s">
        <v>240</v>
      </c>
      <c r="F6" s="16">
        <v>46267</v>
      </c>
      <c r="G6" s="16"/>
      <c r="H6" s="14" t="s">
        <v>240</v>
      </c>
      <c r="I6" s="16">
        <v>46267</v>
      </c>
      <c r="J6" s="16">
        <v>46632</v>
      </c>
      <c r="K6" s="16">
        <v>46448</v>
      </c>
      <c r="L6" s="16">
        <v>46998</v>
      </c>
      <c r="M6" s="16">
        <v>46998</v>
      </c>
      <c r="N6" s="14" t="str">
        <f t="shared" si="0"/>
        <v>První vydání</v>
      </c>
      <c r="O6" s="16">
        <f t="shared" si="1"/>
        <v>46267</v>
      </c>
      <c r="P6" s="16">
        <f>EDATE($V6,IF($O6&lt;EDATE($C6,Číselníky!$B$12*Číselníky!$B$3),Číselníky!$B$5,Číselníky!$B$4))</f>
        <v>46632</v>
      </c>
      <c r="Q6" s="16">
        <f>EDATE($V6,IF($O6&lt;EDATE($C6,Číselníky!$B$8*Číselníky!$B$3),Číselníky!$B$5,Číselníky!$B$4))</f>
        <v>46448</v>
      </c>
      <c r="R6" s="16">
        <f>IF($O6&lt;EDATE($C6,Číselníky!$B$8*Číselníky!$B$3),MIN(EDATE($V6,Číselníky!$B$7),EDATE($C6,Číselníky!$B$9*Číselníky!$B$3)),IF($O6&lt;EDATE($C6,Číselníky!$B$10*Číselníky!$B$3),MIN(EDATE($V6,Číselníky!$B$6),EDATE($C6,Číselníky!$B$11*Číselníky!$B$3)),EDATE($V6,Číselníky!$B$5)))</f>
        <v>46998</v>
      </c>
      <c r="S6" s="16">
        <f>IF($O6&lt;EDATE($C6,Číselníky!$B$8*Číselníky!$B$3),MIN(EDATE($V6,Číselníky!$B$7),EDATE($C6,Číselníky!$B$9*Číselníky!$B$3)),EDATE($V6,Číselníky!$B$6))</f>
        <v>46998</v>
      </c>
      <c r="T6" s="14" t="str">
        <f t="shared" si="2"/>
        <v>PASS</v>
      </c>
      <c r="U6" t="b">
        <f>AND($E6="Opakované vyšetření",$F6&gt;=$G6-Číselníky!$B$2,$F6&lt;=$G6)</f>
        <v>0</v>
      </c>
      <c r="V6" s="1">
        <f t="shared" si="3"/>
        <v>46267</v>
      </c>
    </row>
    <row r="7" spans="1:22" ht="42" customHeight="1" x14ac:dyDescent="0.25">
      <c r="A7" s="11" t="s">
        <v>243</v>
      </c>
      <c r="B7" s="12" t="s">
        <v>244</v>
      </c>
      <c r="C7" s="13">
        <v>24352</v>
      </c>
      <c r="D7" s="11" t="s">
        <v>239</v>
      </c>
      <c r="E7" s="11" t="s">
        <v>240</v>
      </c>
      <c r="F7" s="13">
        <v>46267</v>
      </c>
      <c r="G7" s="13"/>
      <c r="H7" s="11" t="s">
        <v>240</v>
      </c>
      <c r="I7" s="13">
        <v>46267</v>
      </c>
      <c r="J7" s="13">
        <v>46448</v>
      </c>
      <c r="K7" s="13">
        <v>46448</v>
      </c>
      <c r="L7" s="13">
        <v>46632</v>
      </c>
      <c r="M7" s="13">
        <v>46998</v>
      </c>
      <c r="N7" s="11" t="str">
        <f t="shared" si="0"/>
        <v>První vydání</v>
      </c>
      <c r="O7" s="13">
        <f t="shared" si="1"/>
        <v>46267</v>
      </c>
      <c r="P7" s="13">
        <f>EDATE($V7,IF($O7&lt;EDATE($C7,Číselníky!$B$12*Číselníky!$B$3),Číselníky!$B$5,Číselníky!$B$4))</f>
        <v>46448</v>
      </c>
      <c r="Q7" s="13">
        <f>EDATE($V7,IF($O7&lt;EDATE($C7,Číselníky!$B$8*Číselníky!$B$3),Číselníky!$B$5,Číselníky!$B$4))</f>
        <v>46448</v>
      </c>
      <c r="R7" s="13">
        <f>IF($O7&lt;EDATE($C7,Číselníky!$B$8*Číselníky!$B$3),MIN(EDATE($V7,Číselníky!$B$7),EDATE($C7,Číselníky!$B$9*Číselníky!$B$3)),IF($O7&lt;EDATE($C7,Číselníky!$B$10*Číselníky!$B$3),MIN(EDATE($V7,Číselníky!$B$6),EDATE($C7,Číselníky!$B$11*Číselníky!$B$3)),EDATE($V7,Číselníky!$B$5)))</f>
        <v>46632</v>
      </c>
      <c r="S7" s="13">
        <f>IF($O7&lt;EDATE($C7,Číselníky!$B$8*Číselníky!$B$3),MIN(EDATE($V7,Číselníky!$B$7),EDATE($C7,Číselníky!$B$9*Číselníky!$B$3)),EDATE($V7,Číselníky!$B$6))</f>
        <v>46998</v>
      </c>
      <c r="T7" s="11" t="str">
        <f t="shared" si="2"/>
        <v>PASS</v>
      </c>
      <c r="U7" t="b">
        <f>AND($E7="Opakované vyšetření",$F7&gt;=$G7-Číselníky!$B$2,$F7&lt;=$G7)</f>
        <v>0</v>
      </c>
      <c r="V7" s="1">
        <f t="shared" si="3"/>
        <v>46267</v>
      </c>
    </row>
    <row r="8" spans="1:22" ht="42" customHeight="1" x14ac:dyDescent="0.25">
      <c r="A8" s="14" t="s">
        <v>245</v>
      </c>
      <c r="B8" s="15" t="s">
        <v>246</v>
      </c>
      <c r="C8" s="16">
        <v>32431</v>
      </c>
      <c r="D8" s="14" t="s">
        <v>247</v>
      </c>
      <c r="E8" s="14" t="s">
        <v>240</v>
      </c>
      <c r="F8" s="16">
        <v>46267</v>
      </c>
      <c r="G8" s="16"/>
      <c r="H8" s="14" t="s">
        <v>240</v>
      </c>
      <c r="I8" s="16">
        <v>46267</v>
      </c>
      <c r="J8" s="16">
        <v>46632</v>
      </c>
      <c r="K8" s="16">
        <v>46632</v>
      </c>
      <c r="L8" s="16">
        <v>47771</v>
      </c>
      <c r="M8" s="16">
        <v>47771</v>
      </c>
      <c r="N8" s="14" t="str">
        <f t="shared" si="0"/>
        <v>První vydání</v>
      </c>
      <c r="O8" s="16">
        <f t="shared" si="1"/>
        <v>46267</v>
      </c>
      <c r="P8" s="16">
        <f>EDATE($V8,IF($O8&lt;EDATE($C8,Číselníky!$B$12*Číselníky!$B$3),Číselníky!$B$5,Číselníky!$B$4))</f>
        <v>46632</v>
      </c>
      <c r="Q8" s="16">
        <f>EDATE($V8,IF($O8&lt;EDATE($C8,Číselníky!$B$8*Číselníky!$B$3),Číselníky!$B$5,Číselníky!$B$4))</f>
        <v>46632</v>
      </c>
      <c r="R8" s="16">
        <f>IF($O8&lt;EDATE($C8,Číselníky!$B$8*Číselníky!$B$3),MIN(EDATE($V8,Číselníky!$B$7),EDATE($C8,Číselníky!$B$9*Číselníky!$B$3)),IF($O8&lt;EDATE($C8,Číselníky!$B$10*Číselníky!$B$3),MIN(EDATE($V8,Číselníky!$B$6),EDATE($C8,Číselníky!$B$11*Číselníky!$B$3)),EDATE($V8,Číselníky!$B$5)))</f>
        <v>47771</v>
      </c>
      <c r="S8" s="16">
        <f>IF($O8&lt;EDATE($C8,Číselníky!$B$8*Číselníky!$B$3),MIN(EDATE($V8,Číselníky!$B$7),EDATE($C8,Číselníky!$B$9*Číselníky!$B$3)),EDATE($V8,Číselníky!$B$6))</f>
        <v>47771</v>
      </c>
      <c r="T8" s="14" t="str">
        <f t="shared" si="2"/>
        <v>PASS</v>
      </c>
      <c r="U8" t="b">
        <f>AND($E8="Opakované vyšetření",$F8&gt;=$G8-Číselníky!$B$2,$F8&lt;=$G8)</f>
        <v>0</v>
      </c>
      <c r="V8" s="1">
        <f t="shared" si="3"/>
        <v>46267</v>
      </c>
    </row>
    <row r="9" spans="1:22" ht="42" customHeight="1" x14ac:dyDescent="0.25">
      <c r="A9" s="11" t="s">
        <v>248</v>
      </c>
      <c r="B9" s="12" t="s">
        <v>249</v>
      </c>
      <c r="C9" s="13">
        <v>28109</v>
      </c>
      <c r="D9" s="11" t="s">
        <v>247</v>
      </c>
      <c r="E9" s="11" t="s">
        <v>240</v>
      </c>
      <c r="F9" s="13">
        <v>46267</v>
      </c>
      <c r="G9" s="13"/>
      <c r="H9" s="11" t="s">
        <v>240</v>
      </c>
      <c r="I9" s="13">
        <v>46267</v>
      </c>
      <c r="J9" s="13">
        <v>46632</v>
      </c>
      <c r="K9" s="13">
        <v>46448</v>
      </c>
      <c r="L9" s="13">
        <v>46736</v>
      </c>
      <c r="M9" s="13">
        <v>46998</v>
      </c>
      <c r="N9" s="11" t="str">
        <f t="shared" si="0"/>
        <v>První vydání</v>
      </c>
      <c r="O9" s="13">
        <f t="shared" si="1"/>
        <v>46267</v>
      </c>
      <c r="P9" s="13">
        <f>EDATE($V9,IF($O9&lt;EDATE($C9,Číselníky!$B$12*Číselníky!$B$3),Číselníky!$B$5,Číselníky!$B$4))</f>
        <v>46632</v>
      </c>
      <c r="Q9" s="13">
        <f>EDATE($V9,IF($O9&lt;EDATE($C9,Číselníky!$B$8*Číselníky!$B$3),Číselníky!$B$5,Číselníky!$B$4))</f>
        <v>46448</v>
      </c>
      <c r="R9" s="13">
        <f>IF($O9&lt;EDATE($C9,Číselníky!$B$8*Číselníky!$B$3),MIN(EDATE($V9,Číselníky!$B$7),EDATE($C9,Číselníky!$B$9*Číselníky!$B$3)),IF($O9&lt;EDATE($C9,Číselníky!$B$10*Číselníky!$B$3),MIN(EDATE($V9,Číselníky!$B$6),EDATE($C9,Číselníky!$B$11*Číselníky!$B$3)),EDATE($V9,Číselníky!$B$5)))</f>
        <v>46736</v>
      </c>
      <c r="S9" s="13">
        <f>IF($O9&lt;EDATE($C9,Číselníky!$B$8*Číselníky!$B$3),MIN(EDATE($V9,Číselníky!$B$7),EDATE($C9,Číselníky!$B$9*Číselníky!$B$3)),EDATE($V9,Číselníky!$B$6))</f>
        <v>46998</v>
      </c>
      <c r="T9" s="11" t="str">
        <f t="shared" si="2"/>
        <v>PASS</v>
      </c>
      <c r="U9" t="b">
        <f>AND($E9="Opakované vyšetření",$F9&gt;=$G9-Číselníky!$B$2,$F9&lt;=$G9)</f>
        <v>0</v>
      </c>
      <c r="V9" s="1">
        <f t="shared" si="3"/>
        <v>46267</v>
      </c>
    </row>
    <row r="10" spans="1:22" ht="42" customHeight="1" x14ac:dyDescent="0.25">
      <c r="A10" s="14" t="s">
        <v>250</v>
      </c>
      <c r="B10" s="15" t="s">
        <v>251</v>
      </c>
      <c r="C10" s="16">
        <v>28005</v>
      </c>
      <c r="D10" s="14" t="s">
        <v>247</v>
      </c>
      <c r="E10" s="14" t="s">
        <v>240</v>
      </c>
      <c r="F10" s="16">
        <v>46267</v>
      </c>
      <c r="G10" s="16"/>
      <c r="H10" s="14" t="s">
        <v>240</v>
      </c>
      <c r="I10" s="16">
        <v>46267</v>
      </c>
      <c r="J10" s="16">
        <v>46632</v>
      </c>
      <c r="K10" s="16">
        <v>46448</v>
      </c>
      <c r="L10" s="16">
        <v>46632</v>
      </c>
      <c r="M10" s="16">
        <v>46998</v>
      </c>
      <c r="N10" s="14" t="str">
        <f t="shared" si="0"/>
        <v>První vydání</v>
      </c>
      <c r="O10" s="16">
        <f t="shared" si="1"/>
        <v>46267</v>
      </c>
      <c r="P10" s="16">
        <f>EDATE($V10,IF($O10&lt;EDATE($C10,Číselníky!$B$12*Číselníky!$B$3),Číselníky!$B$5,Číselníky!$B$4))</f>
        <v>46632</v>
      </c>
      <c r="Q10" s="16">
        <f>EDATE($V10,IF($O10&lt;EDATE($C10,Číselníky!$B$8*Číselníky!$B$3),Číselníky!$B$5,Číselníky!$B$4))</f>
        <v>46448</v>
      </c>
      <c r="R10" s="16">
        <f>IF($O10&lt;EDATE($C10,Číselníky!$B$8*Číselníky!$B$3),MIN(EDATE($V10,Číselníky!$B$7),EDATE($C10,Číselníky!$B$9*Číselníky!$B$3)),IF($O10&lt;EDATE($C10,Číselníky!$B$10*Číselníky!$B$3),MIN(EDATE($V10,Číselníky!$B$6),EDATE($C10,Číselníky!$B$11*Číselníky!$B$3)),EDATE($V10,Číselníky!$B$5)))</f>
        <v>46632</v>
      </c>
      <c r="S10" s="16">
        <f>IF($O10&lt;EDATE($C10,Číselníky!$B$8*Číselníky!$B$3),MIN(EDATE($V10,Číselníky!$B$7),EDATE($C10,Číselníky!$B$9*Číselníky!$B$3)),EDATE($V10,Číselníky!$B$6))</f>
        <v>46998</v>
      </c>
      <c r="T10" s="14" t="str">
        <f t="shared" si="2"/>
        <v>PASS</v>
      </c>
      <c r="U10" t="b">
        <f>AND($E10="Opakované vyšetření",$F10&gt;=$G10-Číselníky!$B$2,$F10&lt;=$G10)</f>
        <v>0</v>
      </c>
      <c r="V10" s="1">
        <f t="shared" si="3"/>
        <v>46267</v>
      </c>
    </row>
    <row r="11" spans="1:22" ht="42" customHeight="1" x14ac:dyDescent="0.25">
      <c r="A11" s="11" t="s">
        <v>252</v>
      </c>
      <c r="B11" s="12" t="s">
        <v>253</v>
      </c>
      <c r="C11" s="13">
        <v>29221</v>
      </c>
      <c r="D11" s="11" t="s">
        <v>239</v>
      </c>
      <c r="E11" s="11" t="s">
        <v>254</v>
      </c>
      <c r="F11" s="13">
        <v>46275</v>
      </c>
      <c r="G11" s="13">
        <v>46295</v>
      </c>
      <c r="H11" s="11" t="s">
        <v>255</v>
      </c>
      <c r="I11" s="13">
        <v>46296</v>
      </c>
      <c r="J11" s="13">
        <v>46660</v>
      </c>
      <c r="K11" s="13">
        <v>46476</v>
      </c>
      <c r="L11" s="13">
        <v>47026</v>
      </c>
      <c r="M11" s="13">
        <v>47026</v>
      </c>
      <c r="N11" s="11" t="str">
        <f t="shared" si="0"/>
        <v>Prodloužení v 45denním období</v>
      </c>
      <c r="O11" s="13">
        <f t="shared" si="1"/>
        <v>46296</v>
      </c>
      <c r="P11" s="13">
        <f>EDATE($V11,IF($O11&lt;EDATE($C11,Číselníky!$B$12*Číselníky!$B$3),Číselníky!$B$5,Číselníky!$B$4))</f>
        <v>46660</v>
      </c>
      <c r="Q11" s="13">
        <f>EDATE($V11,IF($O11&lt;EDATE($C11,Číselníky!$B$8*Číselníky!$B$3),Číselníky!$B$5,Číselníky!$B$4))</f>
        <v>46476</v>
      </c>
      <c r="R11" s="13">
        <f>IF($O11&lt;EDATE($C11,Číselníky!$B$8*Číselníky!$B$3),MIN(EDATE($V11,Číselníky!$B$7),EDATE($C11,Číselníky!$B$9*Číselníky!$B$3)),IF($O11&lt;EDATE($C11,Číselníky!$B$10*Číselníky!$B$3),MIN(EDATE($V11,Číselníky!$B$6),EDATE($C11,Číselníky!$B$11*Číselníky!$B$3)),EDATE($V11,Číselníky!$B$5)))</f>
        <v>47026</v>
      </c>
      <c r="S11" s="13">
        <f>IF($O11&lt;EDATE($C11,Číselníky!$B$8*Číselníky!$B$3),MIN(EDATE($V11,Číselníky!$B$7),EDATE($C11,Číselníky!$B$9*Číselníky!$B$3)),EDATE($V11,Číselníky!$B$6))</f>
        <v>47026</v>
      </c>
      <c r="T11" s="11" t="str">
        <f t="shared" si="2"/>
        <v>PASS</v>
      </c>
      <c r="U11" t="b">
        <f>AND($E11="Opakované vyšetření",$F11&gt;=$G11-Číselníky!$B$2,$F11&lt;=$G11)</f>
        <v>1</v>
      </c>
      <c r="V11" s="1">
        <f t="shared" si="3"/>
        <v>46295</v>
      </c>
    </row>
    <row r="12" spans="1:22" ht="42" customHeight="1" x14ac:dyDescent="0.25">
      <c r="A12" s="14" t="s">
        <v>256</v>
      </c>
      <c r="B12" s="15" t="s">
        <v>257</v>
      </c>
      <c r="C12" s="16">
        <v>31048</v>
      </c>
      <c r="D12" s="14" t="s">
        <v>247</v>
      </c>
      <c r="E12" s="14" t="s">
        <v>254</v>
      </c>
      <c r="F12" s="16">
        <v>46267</v>
      </c>
      <c r="G12" s="16">
        <v>46312</v>
      </c>
      <c r="H12" s="14" t="s">
        <v>255</v>
      </c>
      <c r="I12" s="16">
        <v>46313</v>
      </c>
      <c r="J12" s="16">
        <v>46677</v>
      </c>
      <c r="K12" s="16">
        <v>46494</v>
      </c>
      <c r="L12" s="16">
        <v>47043</v>
      </c>
      <c r="M12" s="16">
        <v>47043</v>
      </c>
      <c r="N12" s="14" t="str">
        <f t="shared" si="0"/>
        <v>Prodloužení v 45denním období</v>
      </c>
      <c r="O12" s="16">
        <f t="shared" si="1"/>
        <v>46313</v>
      </c>
      <c r="P12" s="16">
        <f>EDATE($V12,IF($O12&lt;EDATE($C12,Číselníky!$B$12*Číselníky!$B$3),Číselníky!$B$5,Číselníky!$B$4))</f>
        <v>46677</v>
      </c>
      <c r="Q12" s="16">
        <f>EDATE($V12,IF($O12&lt;EDATE($C12,Číselníky!$B$8*Číselníky!$B$3),Číselníky!$B$5,Číselníky!$B$4))</f>
        <v>46494</v>
      </c>
      <c r="R12" s="16">
        <f>IF($O12&lt;EDATE($C12,Číselníky!$B$8*Číselníky!$B$3),MIN(EDATE($V12,Číselníky!$B$7),EDATE($C12,Číselníky!$B$9*Číselníky!$B$3)),IF($O12&lt;EDATE($C12,Číselníky!$B$10*Číselníky!$B$3),MIN(EDATE($V12,Číselníky!$B$6),EDATE($C12,Číselníky!$B$11*Číselníky!$B$3)),EDATE($V12,Číselníky!$B$5)))</f>
        <v>47043</v>
      </c>
      <c r="S12" s="16">
        <f>IF($O12&lt;EDATE($C12,Číselníky!$B$8*Číselníky!$B$3),MIN(EDATE($V12,Číselníky!$B$7),EDATE($C12,Číselníky!$B$9*Číselníky!$B$3)),EDATE($V12,Číselníky!$B$6))</f>
        <v>47043</v>
      </c>
      <c r="T12" s="14" t="str">
        <f t="shared" si="2"/>
        <v>PASS</v>
      </c>
      <c r="U12" t="b">
        <f>AND($E12="Opakované vyšetření",$F12&gt;=$G12-Číselníky!$B$2,$F12&lt;=$G12)</f>
        <v>1</v>
      </c>
      <c r="V12" s="1">
        <f t="shared" si="3"/>
        <v>46312</v>
      </c>
    </row>
    <row r="13" spans="1:22" ht="42" customHeight="1" x14ac:dyDescent="0.25">
      <c r="A13" s="11" t="s">
        <v>258</v>
      </c>
      <c r="B13" s="12" t="s">
        <v>259</v>
      </c>
      <c r="C13" s="13">
        <v>31048</v>
      </c>
      <c r="D13" s="11" t="s">
        <v>247</v>
      </c>
      <c r="E13" s="11" t="s">
        <v>254</v>
      </c>
      <c r="F13" s="13">
        <v>46267</v>
      </c>
      <c r="G13" s="13">
        <v>46313</v>
      </c>
      <c r="H13" s="11" t="s">
        <v>260</v>
      </c>
      <c r="I13" s="13">
        <v>46267</v>
      </c>
      <c r="J13" s="13">
        <v>46632</v>
      </c>
      <c r="K13" s="13">
        <v>46448</v>
      </c>
      <c r="L13" s="13">
        <v>46998</v>
      </c>
      <c r="M13" s="13">
        <v>46998</v>
      </c>
      <c r="N13" s="11" t="str">
        <f t="shared" si="0"/>
        <v>Opakované vyšetření mimo 45denní období – platnost od vyšetření</v>
      </c>
      <c r="O13" s="13">
        <f t="shared" si="1"/>
        <v>46267</v>
      </c>
      <c r="P13" s="13">
        <f>EDATE($V13,IF($O13&lt;EDATE($C13,Číselníky!$B$12*Číselníky!$B$3),Číselníky!$B$5,Číselníky!$B$4))</f>
        <v>46632</v>
      </c>
      <c r="Q13" s="13">
        <f>EDATE($V13,IF($O13&lt;EDATE($C13,Číselníky!$B$8*Číselníky!$B$3),Číselníky!$B$5,Číselníky!$B$4))</f>
        <v>46448</v>
      </c>
      <c r="R13" s="13">
        <f>IF($O13&lt;EDATE($C13,Číselníky!$B$8*Číselníky!$B$3),MIN(EDATE($V13,Číselníky!$B$7),EDATE($C13,Číselníky!$B$9*Číselníky!$B$3)),IF($O13&lt;EDATE($C13,Číselníky!$B$10*Číselníky!$B$3),MIN(EDATE($V13,Číselníky!$B$6),EDATE($C13,Číselníky!$B$11*Číselníky!$B$3)),EDATE($V13,Číselníky!$B$5)))</f>
        <v>46998</v>
      </c>
      <c r="S13" s="13">
        <f>IF($O13&lt;EDATE($C13,Číselníky!$B$8*Číselníky!$B$3),MIN(EDATE($V13,Číselníky!$B$7),EDATE($C13,Číselníky!$B$9*Číselníky!$B$3)),EDATE($V13,Číselníky!$B$6))</f>
        <v>46998</v>
      </c>
      <c r="T13" s="11" t="str">
        <f t="shared" si="2"/>
        <v>PASS</v>
      </c>
      <c r="U13" t="b">
        <f>AND($E13="Opakované vyšetření",$F13&gt;=$G13-Číselníky!$B$2,$F13&lt;=$G13)</f>
        <v>0</v>
      </c>
      <c r="V13" s="1">
        <f t="shared" si="3"/>
        <v>46267</v>
      </c>
    </row>
    <row r="14" spans="1:22" ht="42" customHeight="1" x14ac:dyDescent="0.25">
      <c r="A14" s="14" t="s">
        <v>261</v>
      </c>
      <c r="B14" s="15" t="s">
        <v>262</v>
      </c>
      <c r="C14" s="16">
        <v>21916</v>
      </c>
      <c r="D14" s="14" t="s">
        <v>239</v>
      </c>
      <c r="E14" s="14" t="s">
        <v>254</v>
      </c>
      <c r="F14" s="16">
        <v>46267</v>
      </c>
      <c r="G14" s="16">
        <v>46265</v>
      </c>
      <c r="H14" s="14" t="s">
        <v>263</v>
      </c>
      <c r="I14" s="16">
        <v>46267</v>
      </c>
      <c r="J14" s="16">
        <v>46448</v>
      </c>
      <c r="K14" s="16">
        <v>46448</v>
      </c>
      <c r="L14" s="16">
        <v>46632</v>
      </c>
      <c r="M14" s="16">
        <v>46998</v>
      </c>
      <c r="N14" s="14" t="str">
        <f t="shared" si="0"/>
        <v>Obnova po skončení platnosti</v>
      </c>
      <c r="O14" s="16">
        <f t="shared" si="1"/>
        <v>46267</v>
      </c>
      <c r="P14" s="16">
        <f>EDATE($V14,IF($O14&lt;EDATE($C14,Číselníky!$B$12*Číselníky!$B$3),Číselníky!$B$5,Číselníky!$B$4))</f>
        <v>46448</v>
      </c>
      <c r="Q14" s="16">
        <f>EDATE($V14,IF($O14&lt;EDATE($C14,Číselníky!$B$8*Číselníky!$B$3),Číselníky!$B$5,Číselníky!$B$4))</f>
        <v>46448</v>
      </c>
      <c r="R14" s="16">
        <f>IF($O14&lt;EDATE($C14,Číselníky!$B$8*Číselníky!$B$3),MIN(EDATE($V14,Číselníky!$B$7),EDATE($C14,Číselníky!$B$9*Číselníky!$B$3)),IF($O14&lt;EDATE($C14,Číselníky!$B$10*Číselníky!$B$3),MIN(EDATE($V14,Číselníky!$B$6),EDATE($C14,Číselníky!$B$11*Číselníky!$B$3)),EDATE($V14,Číselníky!$B$5)))</f>
        <v>46632</v>
      </c>
      <c r="S14" s="16">
        <f>IF($O14&lt;EDATE($C14,Číselníky!$B$8*Číselníky!$B$3),MIN(EDATE($V14,Číselníky!$B$7),EDATE($C14,Číselníky!$B$9*Číselníky!$B$3)),EDATE($V14,Číselníky!$B$6))</f>
        <v>46998</v>
      </c>
      <c r="T14" s="14" t="str">
        <f t="shared" si="2"/>
        <v>PASS</v>
      </c>
      <c r="U14" t="b">
        <f>AND($E14="Opakované vyšetření",$F14&gt;=$G14-Číselníky!$B$2,$F14&lt;=$G14)</f>
        <v>0</v>
      </c>
      <c r="V14" s="1">
        <f t="shared" si="3"/>
        <v>46267</v>
      </c>
    </row>
    <row r="15" spans="1:22" ht="42" customHeight="1" x14ac:dyDescent="0.25">
      <c r="A15" s="11" t="s">
        <v>264</v>
      </c>
      <c r="B15" s="12" t="s">
        <v>265</v>
      </c>
      <c r="C15" s="13">
        <v>31675</v>
      </c>
      <c r="D15" s="11" t="s">
        <v>239</v>
      </c>
      <c r="E15" s="11" t="s">
        <v>254</v>
      </c>
      <c r="F15" s="13">
        <v>46266</v>
      </c>
      <c r="G15" s="13">
        <v>46284</v>
      </c>
      <c r="H15" s="11" t="s">
        <v>255</v>
      </c>
      <c r="I15" s="13">
        <v>46285</v>
      </c>
      <c r="J15" s="13">
        <v>46649</v>
      </c>
      <c r="K15" s="13">
        <v>46465</v>
      </c>
      <c r="L15" s="13">
        <v>47015</v>
      </c>
      <c r="M15" s="13">
        <v>47015</v>
      </c>
      <c r="N15" s="11" t="str">
        <f t="shared" si="0"/>
        <v>Prodloužení v 45denním období</v>
      </c>
      <c r="O15" s="13">
        <f t="shared" si="1"/>
        <v>46285</v>
      </c>
      <c r="P15" s="13">
        <f>EDATE($V15,IF($O15&lt;EDATE($C15,Číselníky!$B$12*Číselníky!$B$3),Číselníky!$B$5,Číselníky!$B$4))</f>
        <v>46649</v>
      </c>
      <c r="Q15" s="13">
        <f>EDATE($V15,IF($O15&lt;EDATE($C15,Číselníky!$B$8*Číselníky!$B$3),Číselníky!$B$5,Číselníky!$B$4))</f>
        <v>46465</v>
      </c>
      <c r="R15" s="13">
        <f>IF($O15&lt;EDATE($C15,Číselníky!$B$8*Číselníky!$B$3),MIN(EDATE($V15,Číselníky!$B$7),EDATE($C15,Číselníky!$B$9*Číselníky!$B$3)),IF($O15&lt;EDATE($C15,Číselníky!$B$10*Číselníky!$B$3),MIN(EDATE($V15,Číselníky!$B$6),EDATE($C15,Číselníky!$B$11*Číselníky!$B$3)),EDATE($V15,Číselníky!$B$5)))</f>
        <v>47015</v>
      </c>
      <c r="S15" s="13">
        <f>IF($O15&lt;EDATE($C15,Číselníky!$B$8*Číselníky!$B$3),MIN(EDATE($V15,Číselníky!$B$7),EDATE($C15,Číselníky!$B$9*Číselníky!$B$3)),EDATE($V15,Číselníky!$B$6))</f>
        <v>47015</v>
      </c>
      <c r="T15" s="11" t="str">
        <f t="shared" si="2"/>
        <v>PASS</v>
      </c>
      <c r="U15" t="b">
        <f>AND($E15="Opakované vyšetření",$F15&gt;=$G15-Číselníky!$B$2,$F15&lt;=$G15)</f>
        <v>1</v>
      </c>
      <c r="V15" s="1">
        <f t="shared" si="3"/>
        <v>46284</v>
      </c>
    </row>
    <row r="16" spans="1:22" ht="42" customHeight="1" x14ac:dyDescent="0.25">
      <c r="A16" s="14" t="s">
        <v>266</v>
      </c>
      <c r="B16" s="15" t="s">
        <v>267</v>
      </c>
      <c r="C16" s="16">
        <v>28023</v>
      </c>
      <c r="D16" s="14" t="s">
        <v>247</v>
      </c>
      <c r="E16" s="14" t="s">
        <v>254</v>
      </c>
      <c r="F16" s="16">
        <v>46266</v>
      </c>
      <c r="G16" s="16">
        <v>46284</v>
      </c>
      <c r="H16" s="14" t="s">
        <v>255</v>
      </c>
      <c r="I16" s="16">
        <v>46285</v>
      </c>
      <c r="J16" s="16">
        <v>46649</v>
      </c>
      <c r="K16" s="16">
        <v>46465</v>
      </c>
      <c r="L16" s="16">
        <v>46649</v>
      </c>
      <c r="M16" s="16">
        <v>47015</v>
      </c>
      <c r="N16" s="14" t="str">
        <f t="shared" si="0"/>
        <v>Prodloužení v 45denním období</v>
      </c>
      <c r="O16" s="16">
        <f t="shared" si="1"/>
        <v>46285</v>
      </c>
      <c r="P16" s="16">
        <f>EDATE($V16,IF($O16&lt;EDATE($C16,Číselníky!$B$12*Číselníky!$B$3),Číselníky!$B$5,Číselníky!$B$4))</f>
        <v>46649</v>
      </c>
      <c r="Q16" s="16">
        <f>EDATE($V16,IF($O16&lt;EDATE($C16,Číselníky!$B$8*Číselníky!$B$3),Číselníky!$B$5,Číselníky!$B$4))</f>
        <v>46465</v>
      </c>
      <c r="R16" s="16">
        <f>IF($O16&lt;EDATE($C16,Číselníky!$B$8*Číselníky!$B$3),MIN(EDATE($V16,Číselníky!$B$7),EDATE($C16,Číselníky!$B$9*Číselníky!$B$3)),IF($O16&lt;EDATE($C16,Číselníky!$B$10*Číselníky!$B$3),MIN(EDATE($V16,Číselníky!$B$6),EDATE($C16,Číselníky!$B$11*Číselníky!$B$3)),EDATE($V16,Číselníky!$B$5)))</f>
        <v>46649</v>
      </c>
      <c r="S16" s="16">
        <f>IF($O16&lt;EDATE($C16,Číselníky!$B$8*Číselníky!$B$3),MIN(EDATE($V16,Číselníky!$B$7),EDATE($C16,Číselníky!$B$9*Číselníky!$B$3)),EDATE($V16,Číselníky!$B$6))</f>
        <v>47015</v>
      </c>
      <c r="T16" s="14" t="str">
        <f t="shared" si="2"/>
        <v>PASS</v>
      </c>
      <c r="U16" t="b">
        <f>AND($E16="Opakované vyšetření",$F16&gt;=$G16-Číselníky!$B$2,$F16&lt;=$G16)</f>
        <v>1</v>
      </c>
      <c r="V16" s="1">
        <f t="shared" si="3"/>
        <v>46284</v>
      </c>
    </row>
    <row r="17" spans="1:22" ht="42" customHeight="1" x14ac:dyDescent="0.25">
      <c r="A17" s="11" t="s">
        <v>268</v>
      </c>
      <c r="B17" s="12" t="s">
        <v>269</v>
      </c>
      <c r="C17" s="13">
        <v>24370</v>
      </c>
      <c r="D17" s="11" t="s">
        <v>239</v>
      </c>
      <c r="E17" s="11" t="s">
        <v>254</v>
      </c>
      <c r="F17" s="13">
        <v>46266</v>
      </c>
      <c r="G17" s="13">
        <v>46284</v>
      </c>
      <c r="H17" s="11" t="s">
        <v>255</v>
      </c>
      <c r="I17" s="13">
        <v>46285</v>
      </c>
      <c r="J17" s="13">
        <v>46465</v>
      </c>
      <c r="K17" s="13">
        <v>46465</v>
      </c>
      <c r="L17" s="13">
        <v>46649</v>
      </c>
      <c r="M17" s="13">
        <v>47015</v>
      </c>
      <c r="N17" s="11" t="str">
        <f t="shared" si="0"/>
        <v>Prodloužení v 45denním období</v>
      </c>
      <c r="O17" s="13">
        <f t="shared" si="1"/>
        <v>46285</v>
      </c>
      <c r="P17" s="13">
        <f>EDATE($V17,IF($O17&lt;EDATE($C17,Číselníky!$B$12*Číselníky!$B$3),Číselníky!$B$5,Číselníky!$B$4))</f>
        <v>46465</v>
      </c>
      <c r="Q17" s="13">
        <f>EDATE($V17,IF($O17&lt;EDATE($C17,Číselníky!$B$8*Číselníky!$B$3),Číselníky!$B$5,Číselníky!$B$4))</f>
        <v>46465</v>
      </c>
      <c r="R17" s="13">
        <f>IF($O17&lt;EDATE($C17,Číselníky!$B$8*Číselníky!$B$3),MIN(EDATE($V17,Číselníky!$B$7),EDATE($C17,Číselníky!$B$9*Číselníky!$B$3)),IF($O17&lt;EDATE($C17,Číselníky!$B$10*Číselníky!$B$3),MIN(EDATE($V17,Číselníky!$B$6),EDATE($C17,Číselníky!$B$11*Číselníky!$B$3)),EDATE($V17,Číselníky!$B$5)))</f>
        <v>46649</v>
      </c>
      <c r="S17" s="13">
        <f>IF($O17&lt;EDATE($C17,Číselníky!$B$8*Číselníky!$B$3),MIN(EDATE($V17,Číselníky!$B$7),EDATE($C17,Číselníky!$B$9*Číselníky!$B$3)),EDATE($V17,Číselníky!$B$6))</f>
        <v>47015</v>
      </c>
      <c r="T17" s="11" t="str">
        <f t="shared" si="2"/>
        <v>PASS</v>
      </c>
      <c r="U17" t="b">
        <f>AND($E17="Opakované vyšetření",$F17&gt;=$G17-Číselníky!$B$2,$F17&lt;=$G17)</f>
        <v>1</v>
      </c>
      <c r="V17" s="1">
        <f t="shared" si="3"/>
        <v>46284</v>
      </c>
    </row>
    <row r="18" spans="1:22" ht="42" customHeight="1" x14ac:dyDescent="0.25">
      <c r="A18" s="14" t="s">
        <v>270</v>
      </c>
      <c r="B18" s="15" t="s">
        <v>271</v>
      </c>
      <c r="C18" s="16">
        <v>31851</v>
      </c>
      <c r="D18" s="14" t="s">
        <v>153</v>
      </c>
      <c r="E18" s="14" t="s">
        <v>240</v>
      </c>
      <c r="F18" s="16">
        <v>46267</v>
      </c>
      <c r="G18" s="16"/>
      <c r="H18" s="14" t="s">
        <v>240</v>
      </c>
      <c r="I18" s="16">
        <v>46267</v>
      </c>
      <c r="J18" s="16">
        <v>46632</v>
      </c>
      <c r="K18" s="16">
        <v>46632</v>
      </c>
      <c r="L18" s="16">
        <v>47192</v>
      </c>
      <c r="M18" s="16">
        <v>47192</v>
      </c>
      <c r="N18" s="14" t="str">
        <f t="shared" si="0"/>
        <v>První vydání</v>
      </c>
      <c r="O18" s="16">
        <f t="shared" si="1"/>
        <v>46267</v>
      </c>
      <c r="P18" s="16">
        <f>EDATE($V18,IF($O18&lt;EDATE($C18,Číselníky!$B$12*Číselníky!$B$3),Číselníky!$B$5,Číselníky!$B$4))</f>
        <v>46632</v>
      </c>
      <c r="Q18" s="16">
        <f>EDATE($V18,IF($O18&lt;EDATE($C18,Číselníky!$B$8*Číselníky!$B$3),Číselníky!$B$5,Číselníky!$B$4))</f>
        <v>46632</v>
      </c>
      <c r="R18" s="16">
        <f>IF($O18&lt;EDATE($C18,Číselníky!$B$8*Číselníky!$B$3),MIN(EDATE($V18,Číselníky!$B$7),EDATE($C18,Číselníky!$B$9*Číselníky!$B$3)),IF($O18&lt;EDATE($C18,Číselníky!$B$10*Číselníky!$B$3),MIN(EDATE($V18,Číselníky!$B$6),EDATE($C18,Číselníky!$B$11*Číselníky!$B$3)),EDATE($V18,Číselníky!$B$5)))</f>
        <v>47192</v>
      </c>
      <c r="S18" s="16">
        <f>IF($O18&lt;EDATE($C18,Číselníky!$B$8*Číselníky!$B$3),MIN(EDATE($V18,Číselníky!$B$7),EDATE($C18,Číselníky!$B$9*Číselníky!$B$3)),EDATE($V18,Číselníky!$B$6))</f>
        <v>47192</v>
      </c>
      <c r="T18" s="14" t="str">
        <f t="shared" si="2"/>
        <v>PASS</v>
      </c>
      <c r="U18" t="b">
        <f>AND($E18="Opakované vyšetření",$F18&gt;=$G18-Číselníky!$B$2,$F18&lt;=$G18)</f>
        <v>0</v>
      </c>
      <c r="V18" s="1">
        <f t="shared" si="3"/>
        <v>46267</v>
      </c>
    </row>
    <row r="19" spans="1:22" ht="42" customHeight="1" x14ac:dyDescent="0.25">
      <c r="A19" s="11" t="s">
        <v>272</v>
      </c>
      <c r="B19" s="12" t="s">
        <v>273</v>
      </c>
      <c r="C19" s="13">
        <v>32904</v>
      </c>
      <c r="D19" s="11" t="s">
        <v>239</v>
      </c>
      <c r="E19" s="11" t="s">
        <v>240</v>
      </c>
      <c r="F19" s="13">
        <v>46053</v>
      </c>
      <c r="G19" s="13"/>
      <c r="H19" s="11" t="s">
        <v>240</v>
      </c>
      <c r="I19" s="13">
        <v>46053</v>
      </c>
      <c r="J19" s="13">
        <v>46418</v>
      </c>
      <c r="K19" s="13">
        <v>46418</v>
      </c>
      <c r="L19" s="13">
        <v>47879</v>
      </c>
      <c r="M19" s="13">
        <v>47879</v>
      </c>
      <c r="N19" s="11" t="str">
        <f t="shared" si="0"/>
        <v>První vydání</v>
      </c>
      <c r="O19" s="13">
        <f t="shared" si="1"/>
        <v>46053</v>
      </c>
      <c r="P19" s="13">
        <f>EDATE($V19,IF($O19&lt;EDATE($C19,Číselníky!$B$12*Číselníky!$B$3),Číselníky!$B$5,Číselníky!$B$4))</f>
        <v>46418</v>
      </c>
      <c r="Q19" s="13">
        <f>EDATE($V19,IF($O19&lt;EDATE($C19,Číselníky!$B$8*Číselníky!$B$3),Číselníky!$B$5,Číselníky!$B$4))</f>
        <v>46418</v>
      </c>
      <c r="R19" s="13">
        <f>IF($O19&lt;EDATE($C19,Číselníky!$B$8*Číselníky!$B$3),MIN(EDATE($V19,Číselníky!$B$7),EDATE($C19,Číselníky!$B$9*Číselníky!$B$3)),IF($O19&lt;EDATE($C19,Číselníky!$B$10*Číselníky!$B$3),MIN(EDATE($V19,Číselníky!$B$6),EDATE($C19,Číselníky!$B$11*Číselníky!$B$3)),EDATE($V19,Číselníky!$B$5)))</f>
        <v>47879</v>
      </c>
      <c r="S19" s="13">
        <f>IF($O19&lt;EDATE($C19,Číselníky!$B$8*Číselníky!$B$3),MIN(EDATE($V19,Číselníky!$B$7),EDATE($C19,Číselníky!$B$9*Číselníky!$B$3)),EDATE($V19,Číselníky!$B$6))</f>
        <v>47879</v>
      </c>
      <c r="T19" s="11" t="str">
        <f t="shared" si="2"/>
        <v>PASS</v>
      </c>
      <c r="U19" t="b">
        <f>AND($E19="Opakované vyšetření",$F19&gt;=$G19-Číselníky!$B$2,$F19&lt;=$G19)</f>
        <v>0</v>
      </c>
      <c r="V19" s="1">
        <f t="shared" si="3"/>
        <v>46053</v>
      </c>
    </row>
    <row r="20" spans="1:22" ht="42" customHeight="1" x14ac:dyDescent="0.25">
      <c r="A20" s="14" t="s">
        <v>274</v>
      </c>
      <c r="B20" s="15" t="s">
        <v>275</v>
      </c>
      <c r="C20" s="16">
        <v>32202</v>
      </c>
      <c r="D20" s="14" t="s">
        <v>247</v>
      </c>
      <c r="E20" s="14" t="s">
        <v>240</v>
      </c>
      <c r="F20" s="16">
        <v>46081</v>
      </c>
      <c r="G20" s="16"/>
      <c r="H20" s="14" t="s">
        <v>240</v>
      </c>
      <c r="I20" s="16">
        <v>46081</v>
      </c>
      <c r="J20" s="16">
        <v>46446</v>
      </c>
      <c r="K20" s="16">
        <v>46446</v>
      </c>
      <c r="L20" s="16">
        <v>47542</v>
      </c>
      <c r="M20" s="16">
        <v>47542</v>
      </c>
      <c r="N20" s="14" t="str">
        <f t="shared" si="0"/>
        <v>První vydání</v>
      </c>
      <c r="O20" s="16">
        <f t="shared" si="1"/>
        <v>46081</v>
      </c>
      <c r="P20" s="16">
        <f>EDATE($V20,IF($O20&lt;EDATE($C20,Číselníky!$B$12*Číselníky!$B$3),Číselníky!$B$5,Číselníky!$B$4))</f>
        <v>46446</v>
      </c>
      <c r="Q20" s="16">
        <f>EDATE($V20,IF($O20&lt;EDATE($C20,Číselníky!$B$8*Číselníky!$B$3),Číselníky!$B$5,Číselníky!$B$4))</f>
        <v>46446</v>
      </c>
      <c r="R20" s="16">
        <f>IF($O20&lt;EDATE($C20,Číselníky!$B$8*Číselníky!$B$3),MIN(EDATE($V20,Číselníky!$B$7),EDATE($C20,Číselníky!$B$9*Číselníky!$B$3)),IF($O20&lt;EDATE($C20,Číselníky!$B$10*Číselníky!$B$3),MIN(EDATE($V20,Číselníky!$B$6),EDATE($C20,Číselníky!$B$11*Číselníky!$B$3)),EDATE($V20,Číselníky!$B$5)))</f>
        <v>47542</v>
      </c>
      <c r="S20" s="16">
        <f>IF($O20&lt;EDATE($C20,Číselníky!$B$8*Číselníky!$B$3),MIN(EDATE($V20,Číselníky!$B$7),EDATE($C20,Číselníky!$B$9*Číselníky!$B$3)),EDATE($V20,Číselníky!$B$6))</f>
        <v>47542</v>
      </c>
      <c r="T20" s="14" t="str">
        <f t="shared" si="2"/>
        <v>PASS</v>
      </c>
      <c r="U20" t="b">
        <f>AND($E20="Opakované vyšetření",$F20&gt;=$G20-Číselníky!$B$2,$F20&lt;=$G20)</f>
        <v>0</v>
      </c>
      <c r="V20" s="1">
        <f t="shared" si="3"/>
        <v>46081</v>
      </c>
    </row>
  </sheetData>
  <autoFilter ref="A4:T20" xr:uid="{00000000-0009-0000-0000-000002000000}"/>
  <mergeCells count="2">
    <mergeCell ref="A1:T1"/>
    <mergeCell ref="A2:T2"/>
  </mergeCells>
  <conditionalFormatting sqref="T5:T20">
    <cfRule type="expression" dxfId="1" priority="1">
      <formula>T5="PASS"</formula>
    </cfRule>
    <cfRule type="expression" dxfId="0" priority="2">
      <formula>T5="CHECK"</formula>
    </cfRule>
  </conditionalFormatting>
  <pageMargins left="0.75" right="0.75" top="1" bottom="1" header="0.5" footer="0.5"/>
  <pageSetup paperSize="8" fitToHeight="2" orientation="landscape"/>
  <headerFooter>
    <oddFooter>&amp;CKalkulačka MC – kontrolní případy&amp;RStrana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"/>
  <sheetViews>
    <sheetView showGridLines="0" workbookViewId="0"/>
  </sheetViews>
  <sheetFormatPr defaultRowHeight="15" x14ac:dyDescent="0.25"/>
  <cols>
    <col min="8" max="8" width="43" customWidth="1"/>
    <col min="9" max="9" width="23" customWidth="1"/>
  </cols>
  <sheetData>
    <row r="1" spans="1:9" x14ac:dyDescent="0.25">
      <c r="A1" t="s">
        <v>276</v>
      </c>
      <c r="B1" t="s">
        <v>277</v>
      </c>
      <c r="C1" t="s">
        <v>278</v>
      </c>
      <c r="H1" s="21" t="s">
        <v>279</v>
      </c>
      <c r="I1" s="21" t="s">
        <v>123</v>
      </c>
    </row>
    <row r="2" spans="1:9" x14ac:dyDescent="0.25">
      <c r="A2" t="s">
        <v>133</v>
      </c>
      <c r="B2">
        <v>45</v>
      </c>
      <c r="C2" t="s">
        <v>280</v>
      </c>
      <c r="E2" t="s">
        <v>239</v>
      </c>
      <c r="F2" t="s">
        <v>240</v>
      </c>
      <c r="G2" t="s">
        <v>27</v>
      </c>
      <c r="H2" t="s">
        <v>80</v>
      </c>
      <c r="I2" t="s">
        <v>91</v>
      </c>
    </row>
    <row r="3" spans="1:9" x14ac:dyDescent="0.25">
      <c r="A3" t="s">
        <v>281</v>
      </c>
      <c r="B3">
        <v>12</v>
      </c>
      <c r="C3" t="s">
        <v>282</v>
      </c>
      <c r="E3" t="s">
        <v>247</v>
      </c>
      <c r="F3" t="s">
        <v>254</v>
      </c>
      <c r="G3" t="s">
        <v>283</v>
      </c>
      <c r="H3" t="s">
        <v>284</v>
      </c>
      <c r="I3" t="s">
        <v>285</v>
      </c>
    </row>
    <row r="4" spans="1:9" x14ac:dyDescent="0.25">
      <c r="A4" t="s">
        <v>286</v>
      </c>
      <c r="B4">
        <v>6</v>
      </c>
      <c r="C4" t="s">
        <v>287</v>
      </c>
      <c r="E4" t="s">
        <v>153</v>
      </c>
      <c r="H4" t="s">
        <v>288</v>
      </c>
    </row>
    <row r="5" spans="1:9" x14ac:dyDescent="0.25">
      <c r="A5" t="s">
        <v>289</v>
      </c>
      <c r="B5">
        <v>12</v>
      </c>
      <c r="C5" t="s">
        <v>287</v>
      </c>
      <c r="H5" t="s">
        <v>290</v>
      </c>
    </row>
    <row r="6" spans="1:9" x14ac:dyDescent="0.25">
      <c r="A6" t="s">
        <v>291</v>
      </c>
      <c r="B6">
        <v>24</v>
      </c>
      <c r="C6" t="s">
        <v>287</v>
      </c>
    </row>
    <row r="7" spans="1:9" x14ac:dyDescent="0.25">
      <c r="A7" t="s">
        <v>292</v>
      </c>
      <c r="B7">
        <v>60</v>
      </c>
      <c r="C7" t="s">
        <v>287</v>
      </c>
    </row>
    <row r="8" spans="1:9" x14ac:dyDescent="0.25">
      <c r="A8" t="s">
        <v>293</v>
      </c>
      <c r="B8">
        <v>40</v>
      </c>
      <c r="C8" t="s">
        <v>294</v>
      </c>
    </row>
    <row r="9" spans="1:9" x14ac:dyDescent="0.25">
      <c r="A9" t="s">
        <v>295</v>
      </c>
      <c r="B9">
        <v>42</v>
      </c>
      <c r="C9" t="s">
        <v>294</v>
      </c>
    </row>
    <row r="10" spans="1:9" x14ac:dyDescent="0.25">
      <c r="A10" t="s">
        <v>296</v>
      </c>
      <c r="B10">
        <v>50</v>
      </c>
      <c r="C10" t="s">
        <v>294</v>
      </c>
    </row>
    <row r="11" spans="1:9" x14ac:dyDescent="0.25">
      <c r="A11" t="s">
        <v>297</v>
      </c>
      <c r="B11">
        <v>51</v>
      </c>
      <c r="C11" t="s">
        <v>294</v>
      </c>
    </row>
    <row r="12" spans="1:9" x14ac:dyDescent="0.25">
      <c r="A12" t="s">
        <v>298</v>
      </c>
      <c r="B12">
        <v>60</v>
      </c>
      <c r="C12" t="s">
        <v>294</v>
      </c>
    </row>
    <row r="13" spans="1:9" x14ac:dyDescent="0.25">
      <c r="A13" t="s">
        <v>299</v>
      </c>
      <c r="B13">
        <v>30</v>
      </c>
      <c r="C13" t="s">
        <v>300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3" width="14" customWidth="1"/>
    <col min="4" max="5" width="12" customWidth="1"/>
    <col min="6" max="7" width="44" customWidth="1"/>
    <col min="8" max="8" width="12" customWidth="1"/>
  </cols>
  <sheetData>
    <row r="1" spans="1:8" ht="30" x14ac:dyDescent="0.25">
      <c r="A1" s="22" t="s">
        <v>127</v>
      </c>
      <c r="B1" s="22" t="s">
        <v>8</v>
      </c>
      <c r="C1" s="22" t="s">
        <v>301</v>
      </c>
      <c r="D1" s="22" t="s">
        <v>302</v>
      </c>
      <c r="E1" s="22" t="s">
        <v>303</v>
      </c>
      <c r="F1" s="22" t="s">
        <v>304</v>
      </c>
      <c r="G1" s="22" t="s">
        <v>305</v>
      </c>
      <c r="H1" s="22" t="s">
        <v>306</v>
      </c>
    </row>
    <row r="2" spans="1:8" x14ac:dyDescent="0.25">
      <c r="A2" t="s">
        <v>307</v>
      </c>
      <c r="B2" s="1">
        <v>36526</v>
      </c>
      <c r="C2" s="1">
        <v>46023</v>
      </c>
      <c r="D2">
        <f t="shared" ref="D2:D14" si="0">DATEDIF(B2,C2,"Y")</f>
        <v>26</v>
      </c>
      <c r="E2" t="s">
        <v>308</v>
      </c>
      <c r="F2" s="1">
        <f>IF(D2&lt;30,EDATE(C2,60),IF(D2&lt;40,EDATE(C2,24),IF(D2&lt;50,EDATE(C2,12),"EVERY MEDICAL")))</f>
        <v>47849</v>
      </c>
      <c r="G2" s="1">
        <v>47849</v>
      </c>
      <c r="H2" t="str">
        <f t="shared" ref="H2:H14" si="1">IF(F2=G2,"PASS","FAIL")</f>
        <v>PASS</v>
      </c>
    </row>
    <row r="3" spans="1:8" x14ac:dyDescent="0.25">
      <c r="A3" t="s">
        <v>307</v>
      </c>
      <c r="B3" s="1">
        <v>35065</v>
      </c>
      <c r="C3" s="1">
        <v>46023</v>
      </c>
      <c r="D3">
        <f t="shared" si="0"/>
        <v>30</v>
      </c>
      <c r="E3" t="s">
        <v>308</v>
      </c>
      <c r="F3" s="1">
        <f>IF(D3&lt;30,EDATE(C3,60),IF(D3&lt;40,EDATE(C3,24),IF(D3&lt;50,EDATE(C3,12),"EVERY MEDICAL")))</f>
        <v>46753</v>
      </c>
      <c r="G3" s="1">
        <v>46753</v>
      </c>
      <c r="H3" t="str">
        <f t="shared" si="1"/>
        <v>PASS</v>
      </c>
    </row>
    <row r="4" spans="1:8" x14ac:dyDescent="0.25">
      <c r="A4" t="s">
        <v>307</v>
      </c>
      <c r="B4" s="1">
        <v>31413</v>
      </c>
      <c r="C4" s="1">
        <v>46023</v>
      </c>
      <c r="D4">
        <f t="shared" si="0"/>
        <v>40</v>
      </c>
      <c r="E4" t="s">
        <v>308</v>
      </c>
      <c r="F4" s="1">
        <f>IF(D4&lt;30,EDATE(C4,60),IF(D4&lt;40,EDATE(C4,24),IF(D4&lt;50,EDATE(C4,12),"EVERY MEDICAL")))</f>
        <v>46388</v>
      </c>
      <c r="G4" s="1">
        <v>46388</v>
      </c>
      <c r="H4" t="str">
        <f t="shared" si="1"/>
        <v>PASS</v>
      </c>
    </row>
    <row r="5" spans="1:8" x14ac:dyDescent="0.25">
      <c r="A5" t="s">
        <v>309</v>
      </c>
      <c r="B5" s="1">
        <v>31909</v>
      </c>
      <c r="C5" s="1">
        <v>46154</v>
      </c>
      <c r="D5">
        <f t="shared" si="0"/>
        <v>39</v>
      </c>
      <c r="E5" t="s">
        <v>310</v>
      </c>
      <c r="F5" s="1">
        <f>IF(D5&lt;40,EDATE(B5,480),IF(D5&lt;50,EDATE(B5,600),EDATE(C5,24)))</f>
        <v>46519</v>
      </c>
      <c r="G5" s="1">
        <f>EDATE(B5,480)</f>
        <v>46519</v>
      </c>
      <c r="H5" t="str">
        <f t="shared" si="1"/>
        <v>PASS</v>
      </c>
    </row>
    <row r="6" spans="1:8" x14ac:dyDescent="0.25">
      <c r="A6" t="s">
        <v>309</v>
      </c>
      <c r="B6" s="1">
        <v>28622</v>
      </c>
      <c r="C6" s="1">
        <v>46154</v>
      </c>
      <c r="D6">
        <f t="shared" si="0"/>
        <v>48</v>
      </c>
      <c r="E6" t="s">
        <v>310</v>
      </c>
      <c r="F6" s="1">
        <f>IF(D6&lt;40,EDATE(B6,480),IF(D6&lt;50,EDATE(B6,600),EDATE(C6,24)))</f>
        <v>46885</v>
      </c>
      <c r="G6" s="1">
        <f>EDATE(B6,600)</f>
        <v>46885</v>
      </c>
      <c r="H6" t="str">
        <f t="shared" si="1"/>
        <v>PASS</v>
      </c>
    </row>
    <row r="7" spans="1:8" x14ac:dyDescent="0.25">
      <c r="A7" t="s">
        <v>309</v>
      </c>
      <c r="B7" s="1">
        <v>27892</v>
      </c>
      <c r="C7" s="1">
        <v>46154</v>
      </c>
      <c r="D7">
        <f t="shared" si="0"/>
        <v>50</v>
      </c>
      <c r="E7" t="s">
        <v>310</v>
      </c>
      <c r="F7" s="1">
        <f>IF(D7&lt;40,EDATE(B7,480),IF(D7&lt;50,EDATE(B7,600),EDATE(C7,24)))</f>
        <v>46885</v>
      </c>
      <c r="G7" s="1">
        <f>EDATE(C7,24)</f>
        <v>46885</v>
      </c>
      <c r="H7" t="str">
        <f t="shared" si="1"/>
        <v>PASS</v>
      </c>
    </row>
    <row r="8" spans="1:8" x14ac:dyDescent="0.25">
      <c r="A8" t="s">
        <v>122</v>
      </c>
      <c r="B8" s="1">
        <v>31778</v>
      </c>
      <c r="C8" s="1">
        <v>46023</v>
      </c>
      <c r="D8">
        <f t="shared" si="0"/>
        <v>39</v>
      </c>
      <c r="E8" t="s">
        <v>311</v>
      </c>
      <c r="F8" s="1">
        <f>EDATE(C8,IF(D8&lt;40,60,IF(D8&lt;60,24,12)))</f>
        <v>47849</v>
      </c>
      <c r="G8" s="1">
        <v>47849</v>
      </c>
      <c r="H8" t="str">
        <f t="shared" si="1"/>
        <v>PASS</v>
      </c>
    </row>
    <row r="9" spans="1:8" x14ac:dyDescent="0.25">
      <c r="A9" t="s">
        <v>122</v>
      </c>
      <c r="B9" s="1">
        <v>31413</v>
      </c>
      <c r="C9" s="1">
        <v>46023</v>
      </c>
      <c r="D9">
        <f t="shared" si="0"/>
        <v>40</v>
      </c>
      <c r="E9" t="s">
        <v>311</v>
      </c>
      <c r="F9" s="1">
        <f>EDATE(C9,IF(D9&lt;40,60,IF(D9&lt;60,24,12)))</f>
        <v>46753</v>
      </c>
      <c r="G9" s="1">
        <v>46753</v>
      </c>
      <c r="H9" t="str">
        <f t="shared" si="1"/>
        <v>PASS</v>
      </c>
    </row>
    <row r="10" spans="1:8" x14ac:dyDescent="0.25">
      <c r="A10" t="s">
        <v>122</v>
      </c>
      <c r="B10" s="1">
        <v>24108</v>
      </c>
      <c r="C10" s="1">
        <v>46023</v>
      </c>
      <c r="D10">
        <f t="shared" si="0"/>
        <v>60</v>
      </c>
      <c r="E10" t="s">
        <v>311</v>
      </c>
      <c r="F10" s="1">
        <f>EDATE(C10,IF(D10&lt;40,60,IF(D10&lt;60,24,12)))</f>
        <v>46388</v>
      </c>
      <c r="G10" s="1">
        <v>46388</v>
      </c>
      <c r="H10" t="str">
        <f t="shared" si="1"/>
        <v>PASS</v>
      </c>
    </row>
    <row r="11" spans="1:8" x14ac:dyDescent="0.25">
      <c r="A11" t="s">
        <v>312</v>
      </c>
      <c r="B11" s="1">
        <v>29221</v>
      </c>
      <c r="C11" s="1">
        <v>46023</v>
      </c>
      <c r="D11">
        <f t="shared" si="0"/>
        <v>46</v>
      </c>
      <c r="E11" t="s">
        <v>313</v>
      </c>
      <c r="F11" s="1">
        <f>EDATE(C11,60)</f>
        <v>47849</v>
      </c>
      <c r="G11" s="1">
        <v>47849</v>
      </c>
      <c r="H11" t="str">
        <f t="shared" si="1"/>
        <v>PASS</v>
      </c>
    </row>
    <row r="12" spans="1:8" x14ac:dyDescent="0.25">
      <c r="A12" t="s">
        <v>312</v>
      </c>
      <c r="B12" s="1">
        <v>29221</v>
      </c>
      <c r="C12" s="1">
        <v>46023</v>
      </c>
      <c r="D12">
        <f t="shared" si="0"/>
        <v>46</v>
      </c>
      <c r="E12" t="s">
        <v>314</v>
      </c>
      <c r="F12" s="1">
        <f>EDATE(C12,24)</f>
        <v>46753</v>
      </c>
      <c r="G12" s="1">
        <v>46753</v>
      </c>
      <c r="H12" t="str">
        <f t="shared" si="1"/>
        <v>PASS</v>
      </c>
    </row>
    <row r="13" spans="1:8" x14ac:dyDescent="0.25">
      <c r="A13" t="s">
        <v>315</v>
      </c>
      <c r="B13" s="1">
        <v>21916</v>
      </c>
      <c r="C13" s="1">
        <v>46266</v>
      </c>
      <c r="D13">
        <f t="shared" si="0"/>
        <v>66</v>
      </c>
      <c r="E13" t="s">
        <v>316</v>
      </c>
      <c r="F13" s="1">
        <f>EDATE(C13,12)</f>
        <v>46631</v>
      </c>
      <c r="G13" s="1">
        <v>46631</v>
      </c>
      <c r="H13" t="str">
        <f t="shared" si="1"/>
        <v>PASS</v>
      </c>
    </row>
    <row r="14" spans="1:8" x14ac:dyDescent="0.25">
      <c r="A14" t="s">
        <v>317</v>
      </c>
      <c r="B14" s="1">
        <v>31665</v>
      </c>
      <c r="C14" s="1">
        <v>46270</v>
      </c>
      <c r="D14">
        <f t="shared" si="0"/>
        <v>39</v>
      </c>
      <c r="E14" t="s">
        <v>310</v>
      </c>
      <c r="F14" s="1">
        <f>IF(D14&lt;40,EDATE(B14,480),IF(D14&lt;50,EDATE(B14,600),EDATE(C14,24)))</f>
        <v>46275</v>
      </c>
      <c r="G14" s="1">
        <f>EDATE(B14,480)</f>
        <v>46275</v>
      </c>
      <c r="H14" t="str">
        <f t="shared" si="1"/>
        <v>PASS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Kalkulačka MC</vt:lpstr>
      <vt:lpstr>Pravidla a zdroje</vt:lpstr>
      <vt:lpstr>Kontrolní případy</vt:lpstr>
      <vt:lpstr>Kontrola Last-Next</vt:lpstr>
      <vt:lpstr>'Kalkulačka MC'!Oblast_tisku</vt:lpstr>
      <vt:lpstr>'Kontrolní případy'!Oblast_tisku</vt:lpstr>
      <vt:lpstr>'Pravidla a zdroje'!Oblast_tisku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Kalkulačka platnosti osvědčení zdravotní způsobilosti</dc:title>
  <dc:subject>Pracovní pomůcka pro vyplnění Medical Certificate podle Part-MED</dc:subject>
  <dc:creator/>
  <cp:keywords>Part-MED, MED.A.045, AME, Medical Certificate, OZZ</cp:keywords>
  <dc:description>Výpočet pole XI pro Class 1, Class 1 SP CAT passengers, Class 2 a LAPL.</dc:description>
  <cp:lastModifiedBy>Kosmeĺová Ivana</cp:lastModifiedBy>
  <dcterms:created xsi:type="dcterms:W3CDTF">2026-09-02T14:10:45Z</dcterms:created>
  <dcterms:modified xsi:type="dcterms:W3CDTF">2026-09-23T08:12:57Z</dcterms:modified>
</cp:coreProperties>
</file>